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pivotTables/pivotTable4.xml" ContentType="application/vnd.openxmlformats-officedocument.spreadsheetml.pivotTable+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pivotTables/pivotTable2.xml" ContentType="application/vnd.openxmlformats-officedocument.spreadsheetml.pivotTable+xml"/>
  <Override PartName="/xl/charts/chart2.xml" ContentType="application/vnd.openxmlformats-officedocument.drawingml.chart+xml"/>
  <Override PartName="/xl/comments6.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comments4.xml" ContentType="application/vnd.openxmlformats-officedocument.spreadsheetml.comments+xml"/>
  <Override PartName="/xl/worksheets/sheet3.xml" ContentType="application/vnd.openxmlformats-officedocument.spreadsheetml.worksheet+xml"/>
  <Override PartName="/xl/externalLinks/externalLink3.xml" ContentType="application/vnd.openxmlformats-officedocument.spreadsheetml.externalLink+xml"/>
  <Override PartName="/xl/pivotCache/pivotCacheDefinition2.xml" ContentType="application/vnd.openxmlformats-officedocument.spreadsheetml.pivotCacheDefinition+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pivotTables/pivotTable3.xml" ContentType="application/vnd.openxmlformats-officedocument.spreadsheetml.pivotTable+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pivotTables/pivotTable1.xml" ContentType="application/vnd.openxmlformats-officedocument.spreadsheetml.pivotTable+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pivotCache/pivotCacheDefinition3.xml" ContentType="application/vnd.openxmlformats-officedocument.spreadsheetml.pivotCacheDefinition+xml"/>
  <Override PartName="/xl/comments3.xml" ContentType="application/vnd.openxmlformats-officedocument.spreadsheetml.comment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hidePivotFieldList="1" defaultThemeVersion="124226"/>
  <bookViews>
    <workbookView xWindow="0" yWindow="5535" windowWidth="19245" windowHeight="5580" tabRatio="827" firstSheet="10" activeTab="12"/>
  </bookViews>
  <sheets>
    <sheet name="员工流失率" sheetId="28" r:id="rId1"/>
    <sheet name="犹豫期内电话回访成功率" sheetId="29" r:id="rId2"/>
    <sheet name="新契约回访完成率" sheetId="30" r:id="rId3"/>
    <sheet name="续期收费率" sheetId="32" r:id="rId4"/>
    <sheet name="退撤保率" sheetId="33" r:id="rId5"/>
    <sheet name="分公司绩效" sheetId="25" r:id="rId6"/>
    <sheet name="总公司绩效-II" sheetId="27" r:id="rId7"/>
    <sheet name="总公司绩效-I" sheetId="26" r:id="rId8"/>
    <sheet name="绩效总分" sheetId="34" r:id="rId9"/>
    <sheet name="目录" sheetId="9" r:id="rId10"/>
    <sheet name="FM02-分支机构封面页" sheetId="21" r:id="rId11"/>
    <sheet name="权重" sheetId="24" r:id="rId12"/>
    <sheet name="OR04-分公司销售、承保、保全" sheetId="18" r:id="rId13"/>
    <sheet name="OR08-分公司理赔" sheetId="19" r:id="rId14"/>
    <sheet name="单证遗失情况" sheetId="22" state="hidden" r:id="rId15"/>
    <sheet name="绩效评分汇总页" sheetId="23" state="hidden" r:id="rId16"/>
    <sheet name="OR13-分公司财务管理" sheetId="20" r:id="rId17"/>
    <sheet name="OR02-销售承保" sheetId="2" r:id="rId18"/>
    <sheet name="OR06-理赔保全" sheetId="3" r:id="rId19"/>
    <sheet name="OR12-财务管理" sheetId="5" r:id="rId20"/>
    <sheet name="OR10-资金运用" sheetId="4" r:id="rId21"/>
    <sheet name="OR18-合规风险" sheetId="7" r:id="rId22"/>
    <sheet name="OR15-准备金再保险" sheetId="6" r:id="rId23"/>
    <sheet name="RR01-声誉风险" sheetId="8" r:id="rId24"/>
    <sheet name="信息系统" sheetId="12" r:id="rId25"/>
    <sheet name="案件管理" sheetId="16" r:id="rId26"/>
    <sheet name="流动性风险" sheetId="10" r:id="rId27"/>
    <sheet name="公司治理" sheetId="11" r:id="rId28"/>
    <sheet name="战略风险" sheetId="15" r:id="rId29"/>
  </sheets>
  <externalReferences>
    <externalReference r:id="rId30"/>
    <externalReference r:id="rId31"/>
    <externalReference r:id="rId32"/>
  </externalReferences>
  <definedNames>
    <definedName name="_xlnm._FilterDatabase" localSheetId="17" hidden="1">'OR02-销售承保'!$A$3:$AU$45</definedName>
    <definedName name="_xlnm._FilterDatabase" localSheetId="12" hidden="1">'OR04-分公司销售、承保、保全'!$A$3:$DC$84</definedName>
    <definedName name="_xlnm._FilterDatabase" localSheetId="18" hidden="1">'OR06-理赔保全'!$A$3:$Y$28</definedName>
    <definedName name="_xlnm._FilterDatabase" localSheetId="13" hidden="1">'OR08-分公司理赔'!$A$3:$CJ$49</definedName>
    <definedName name="_xlnm._FilterDatabase" localSheetId="20" hidden="1">'OR10-资金运用'!$A$3:$AL$66</definedName>
    <definedName name="_xlnm._FilterDatabase" localSheetId="19" hidden="1">'OR12-财务管理'!$A$3:$AI$3</definedName>
    <definedName name="_xlnm._FilterDatabase" localSheetId="16" hidden="1">'OR13-分公司财务管理'!$A$3:$CU$65</definedName>
    <definedName name="_xlnm._FilterDatabase" localSheetId="22" hidden="1">'OR15-准备金再保险'!$C$3:$V$19</definedName>
    <definedName name="_xlnm._FilterDatabase" localSheetId="21" hidden="1">'OR18-合规风险'!$C$3:$P$23</definedName>
    <definedName name="_xlnm._FilterDatabase" localSheetId="23" hidden="1">'RR01-声誉风险'!$C$3:$K$20</definedName>
    <definedName name="_xlnm._FilterDatabase" localSheetId="25" hidden="1">案件管理!$F$2:$M$21</definedName>
    <definedName name="_xlnm._FilterDatabase" localSheetId="27" hidden="1">公司治理!$A$3:$M$96</definedName>
    <definedName name="_xlnm._FilterDatabase" localSheetId="24" hidden="1">信息系统!$A$2:$L$137</definedName>
    <definedName name="_xlnm._FilterDatabase" localSheetId="28" hidden="1">战略风险!$A$2:$F$32</definedName>
    <definedName name="_xlnm._FilterDatabase" localSheetId="7" hidden="1">'总公司绩效-I'!$D$145:$D$149</definedName>
    <definedName name="_xlnm._FilterDatabase" localSheetId="6" hidden="1">'总公司绩效-II'!$A$1:$M$90</definedName>
    <definedName name="boolean" localSheetId="25">'[1]Database-下拉框'!$B$2:$B$3</definedName>
    <definedName name="boolean" localSheetId="28">'[1]Database-下拉框'!$B$2:$B$3</definedName>
    <definedName name="LR01_D1.1.1_报告期的实际净现金流" localSheetId="25">'[2]Database-分值计算'!$B$917:$C$918</definedName>
    <definedName name="LR01_D1.1.1_报告期的实际净现金流" localSheetId="28">'[2]Database-分值计算'!$B$917:$C$918</definedName>
    <definedName name="LR01_D1.1.2.1_在基本情景下未来预计净现金流_财产险和再保险公司" localSheetId="25">'[2]Database-分值计算'!$B$919:$C$920</definedName>
    <definedName name="LR01_D1.1.2.1_在基本情景下未来预计净现金流_财产险和再保险公司" localSheetId="28">'[2]Database-分值计算'!$B$919:$C$920</definedName>
    <definedName name="LR01_D1.1.2.3_在基本情景下未来预计净现金流_人身险公司_报告日后第1年" localSheetId="25">'[2]Database-分值计算'!$B$921:$C$922</definedName>
    <definedName name="LR01_D1.1.2.3_在基本情景下未来预计净现金流_人身险公司_报告日后第1年" localSheetId="28">'[2]Database-分值计算'!$B$921:$C$922</definedName>
    <definedName name="LR01_D1.1.2.4_在基本情景下未来预计净现金流_人身险公司_报告日后第2年和第3年" localSheetId="25">'[2]Database-分值计算'!$B$923:$C$924</definedName>
    <definedName name="LR01_D1.1.2.4_在基本情景下未来预计净现金流_人身险公司_报告日后第2年和第3年" localSheetId="28">'[2]Database-分值计算'!$B$923:$C$924</definedName>
    <definedName name="LR01_D1.1.3.1_在压力情景下未来预计净现金流_财产险和再保险公司" localSheetId="25">'[2]Database-分值计算'!$B$925:$C$926</definedName>
    <definedName name="LR01_D1.1.3.1_在压力情景下未来预计净现金流_财产险和再保险公司" localSheetId="28">'[2]Database-分值计算'!$B$925:$C$926</definedName>
    <definedName name="LR01_D1.1.3.3_在压力情景下未来预计净现金流_人身险公司_报告日后第1年" localSheetId="25">'[2]Database-分值计算'!$B$927:$C$928</definedName>
    <definedName name="LR01_D1.1.3.3_在压力情景下未来预计净现金流_人身险公司_报告日后第1年" localSheetId="28">'[2]Database-分值计算'!$B$927:$C$928</definedName>
    <definedName name="LR01_D1.1.3.4_在压力情景下未来预计净现金流_人身险公司_报告日后第2年和第3年" localSheetId="25">'[2]Database-分值计算'!$B$929:$C$930</definedName>
    <definedName name="LR01_D1.1.3.4_在压力情景下未来预计净现金流_人身险公司_报告日后第2年和第3年" localSheetId="28">'[2]Database-分值计算'!$B$929:$C$930</definedName>
    <definedName name="LR01_D1.2.2_综合流动比率_财产险和再保险公司" localSheetId="25">'[2]Database-分值计算'!$B$931:$C$932</definedName>
    <definedName name="LR01_D1.2.2_综合流动比率_财产险和再保险公司" localSheetId="28">'[2]Database-分值计算'!$B$931:$C$932</definedName>
    <definedName name="LR01_D1.2.4_综合流动比率_人身险公司" localSheetId="25">'[2]Database-分值计算'!$B$933:$C$934</definedName>
    <definedName name="LR01_D1.2.4_综合流动比率_人身险公司" localSheetId="28">'[2]Database-分值计算'!$B$933:$C$934</definedName>
    <definedName name="LR01_D1.3_流动性覆盖率" localSheetId="25">'[2]Database-分值计算'!$B$935:$C$939</definedName>
    <definedName name="LR01_D1.3_流动性覆盖率" localSheetId="28">'[2]Database-分值计算'!$B$935:$C$939</definedName>
    <definedName name="OR01_D1.1.1_销售人员管理情况" localSheetId="25">'[2]Database-分值计算'!$B$2:$C$4</definedName>
    <definedName name="OR01_D1.1.1_销售人员管理情况" localSheetId="28">'[2]Database-分值计算'!$B$2:$C$4</definedName>
    <definedName name="OR01_D1.1.2_核保人员管理情况" localSheetId="25">'[2]Database-分值计算'!$B$5:$C$7</definedName>
    <definedName name="OR01_D1.1.2_核保人员管理情况" localSheetId="28">'[2]Database-分值计算'!$B$5:$C$7</definedName>
    <definedName name="OR01_D1.2.1_核保授权管理建设情况" localSheetId="25">'[2]Database-分值计算'!$B$8:$C$10</definedName>
    <definedName name="OR01_D1.2.1_核保授权管理建设情况" localSheetId="28">'[2]Database-分值计算'!$B$8:$C$10</definedName>
    <definedName name="OR01_D2.1.1_合作中介机构资质完备率" localSheetId="25">'[2]Database-分值计算'!$B$11:$C$14</definedName>
    <definedName name="OR01_D2.1.1_合作中介机构资质完备率" localSheetId="28">'[2]Database-分值计算'!$B$11:$C$14</definedName>
    <definedName name="OR01_D2.1.2_中介代理协议签订合格率" localSheetId="25">'[2]Database-分值计算'!$B$15:$C$18</definedName>
    <definedName name="OR01_D2.1.2_中介代理协议签订合格率" localSheetId="28">'[2]Database-分值计算'!$B$15:$C$18</definedName>
    <definedName name="OR01_D2.1.3_手续费跟单率" localSheetId="25">'[2]Database-分值计算'!$B$19:$C$22</definedName>
    <definedName name="OR01_D2.1.3_手续费跟单率" localSheetId="28">'[2]Database-分值计算'!$B$19:$C$22</definedName>
    <definedName name="OR01_D2.2.1.1_对需审批的保险条款和费率执行情况" localSheetId="25">'[2]Database-分值计算'!$B$23:$C$24</definedName>
    <definedName name="OR01_D2.2.1.1_对需审批的保险条款和费率执行情况" localSheetId="28">'[2]Database-分值计算'!$B$23:$C$24</definedName>
    <definedName name="OR01_D2.2.1.2_对不需审批的保险条款和费率执行情况" localSheetId="25">'[2]Database-分值计算'!$B$25:$C$26</definedName>
    <definedName name="OR01_D2.2.1.2_对不需审批的保险条款和费率执行情况" localSheetId="28">'[2]Database-分值计算'!$B$25:$C$26</definedName>
    <definedName name="OR01_D2.2.1.3_经保监会批准或备案的保险条款和费率的执行情况" localSheetId="25">'[2]Database-分值计算'!$B$27:$C$28</definedName>
    <definedName name="OR01_D2.2.1.3_经保监会批准或备案的保险条款和费率的执行情况" localSheetId="28">'[2]Database-分值计算'!$B$27:$C$28</definedName>
    <definedName name="OR01_D2.2.4_签单日期晚于起保日期的保费_当期总保费" localSheetId="25">'[2]Database-分值计算'!$B$29:$C$32</definedName>
    <definedName name="OR01_D2.2.4_签单日期晚于起保日期的保费_当期总保费" localSheetId="28">'[2]Database-分值计算'!$B$29:$C$32</definedName>
    <definedName name="OR01_D2.3_承保档案管理情况" localSheetId="25">'[2]Database-分值计算'!$B$33:$C$35</definedName>
    <definedName name="OR01_D2.3_承保档案管理情况" localSheetId="28">'[2]Database-分值计算'!$B$33:$C$35</definedName>
    <definedName name="OR01_D2.4.1_符合产品特点的应收保费管理细则制定情况" localSheetId="25">'[2]Database-分值计算'!$B$36:$C$37</definedName>
    <definedName name="OR01_D2.4.1_符合产品特点的应收保费管理细则制定情况" localSheetId="28">'[2]Database-分值计算'!$B$36:$C$37</definedName>
    <definedName name="OR01_D2.4.2_根据应收保费管理细则实施应收保费的日常管理情况" localSheetId="25">'[2]Database-分值计算'!$B$38:$C$39</definedName>
    <definedName name="OR01_D2.4.2_根据应收保费管理细则实施应收保费的日常管理情况" localSheetId="28">'[2]Database-分值计算'!$B$38:$C$39</definedName>
    <definedName name="OR01_D2.4.3_对应收账龄超过3个月的应收保费开展催收情况" localSheetId="25">'[2]Database-分值计算'!$B$40:$C$41</definedName>
    <definedName name="OR01_D2.4.3_对应收账龄超过3个月的应收保费开展催收情况" localSheetId="28">'[2]Database-分值计算'!$B$40:$C$41</definedName>
    <definedName name="OR01_D2.4.4_总公司应收保费考核开展情况" localSheetId="25">'[2]Database-分值计算'!$B$42:$C$43</definedName>
    <definedName name="OR01_D2.4.4_总公司应收保费考核开展情况" localSheetId="28">'[2]Database-分值计算'!$B$42:$C$43</definedName>
    <definedName name="OR01_D2.5.1_利用广告后其他宣传方式对保险条款内容和服务质量等做引人误解的宣传情况" localSheetId="25">'[2]Database-分值计算'!$B$44:$C$45</definedName>
    <definedName name="OR01_D2.5.1_利用广告后其他宣传方式对保险条款内容和服务质量等做引人误解的宣传情况" localSheetId="28">'[2]Database-分值计算'!$B$44:$C$45</definedName>
    <definedName name="OR01_D2.5.2_在销售活动中阻碍消费者履行如实告知义务或诱导其不履行如实告知义务情况" localSheetId="25">'[2]Database-分值计算'!$B$46:$C$47</definedName>
    <definedName name="OR01_D2.5.2_在销售活动中阻碍消费者履行如实告知义务或诱导其不履行如实告知义务情况" localSheetId="28">'[2]Database-分值计算'!$B$46:$C$47</definedName>
    <definedName name="OR01_D2.5.3_夸大保险产品保障情况" localSheetId="25">'[2]Database-分值计算'!$B$48:$C$49</definedName>
    <definedName name="OR01_D2.5.3_夸大保险产品保障情况" localSheetId="28">'[2]Database-分值计算'!$B$48:$C$49</definedName>
    <definedName name="OR01_D2.5.4_隐瞒合同重要内容如免责退保等内容情况" localSheetId="25">'[2]Database-分值计算'!$B$50:$C$51</definedName>
    <definedName name="OR01_D2.5.4_隐瞒合同重要内容如免责退保等内容情况" localSheetId="28">'[2]Database-分值计算'!$B$50:$C$51</definedName>
    <definedName name="OR01_D2.5.5_提供虚假产品信息情况" localSheetId="25">'[2]Database-分值计算'!$B$52:$C$53</definedName>
    <definedName name="OR01_D2.5.5_提供虚假产品信息情况" localSheetId="28">'[2]Database-分值计算'!$B$52:$C$53</definedName>
    <definedName name="OR01_D3.1.1.1_业务信息系统管理完整性得分" localSheetId="25">'[2]Database-分值计算'!$B$54:$C$55</definedName>
    <definedName name="OR01_D3.1.1.1_业务信息系统管理完整性得分" localSheetId="28">'[2]Database-分值计算'!$B$54:$C$55</definedName>
    <definedName name="OR01_D3.1.1.2_业务统计分析系统管理完整性得分" localSheetId="25">'[2]Database-分值计算'!$B$56:$C$57</definedName>
    <definedName name="OR01_D3.1.1.2_业务统计分析系统管理完整性得分" localSheetId="28">'[2]Database-分值计算'!$B$56:$C$57</definedName>
    <definedName name="OR01_D3.1.1.3_承保业务系统与再保、财务系统对接情况得分" localSheetId="25">'[2]Database-分值计算'!$B$58:$C$59</definedName>
    <definedName name="OR01_D3.1.1.3_承保业务系统与再保、财务系统对接情况得分" localSheetId="28">'[2]Database-分值计算'!$B$58:$C$59</definedName>
    <definedName name="OR01_D3.1.2_销售管理系统建设情况" localSheetId="25">'[2]Database-分值计算'!$B$60:$C$62</definedName>
    <definedName name="OR01_D3.1.2_销售管理系统建设情况" localSheetId="28">'[2]Database-分值计算'!$B$60:$C$62</definedName>
    <definedName name="OR01_D3.2.1_关键承保信息质量及一致性情况" localSheetId="25">'[2]Database-分值计算'!$B$63:$C$65</definedName>
    <definedName name="OR01_D3.2.1_关键承保信息质量及一致性情况" localSheetId="28">'[2]Database-分值计算'!$B$63:$C$65</definedName>
    <definedName name="OR01_D5.1_行业人员水平调整" localSheetId="25">'[2]Database-分值计算'!$B$71:$C$73</definedName>
    <definedName name="OR01_D5.1_行业人员水平调整" localSheetId="28">'[2]Database-分值计算'!$B$71:$C$73</definedName>
    <definedName name="OR01_D5.2_行业内控水平调整" localSheetId="25">'[2]Database-分值计算'!$B$74:$C$76</definedName>
    <definedName name="OR01_D5.2_行业内控水平调整" localSheetId="28">'[2]Database-分值计算'!$B$74:$C$76</definedName>
    <definedName name="OR01_D5.3_行业系统水平调整" localSheetId="25">'[2]Database-分值计算'!$B$77:$C$79</definedName>
    <definedName name="OR01_D5.3_行业系统水平调整" localSheetId="28">'[2]Database-分值计算'!$B$77:$C$79</definedName>
    <definedName name="OR01_D6.1_农业保险核验标的率" localSheetId="25">'[2]Database-分值计算'!$B$66:$C$68</definedName>
    <definedName name="OR01_D6.1_农业保险核验标的率" localSheetId="28">'[2]Database-分值计算'!$B$66:$C$68</definedName>
    <definedName name="OR01_D6.2_农业保险承保到户情况" localSheetId="25">'[2]Database-分值计算'!$B$69:$C$70</definedName>
    <definedName name="OR01_D6.2_农业保险承保到户情况" localSheetId="28">'[2]Database-分值计算'!$B$69:$C$70</definedName>
    <definedName name="OR01_X1.1.1_销售人员管理情况" localSheetId="25">'[2]Database-下拉框'!$B$4:$B$6</definedName>
    <definedName name="OR01_X1.1.1_销售人员管理情况" localSheetId="28">'[2]Database-下拉框'!$B$4:$B$6</definedName>
    <definedName name="OR01_X1.1.2_核保人员管理情况" localSheetId="25">'[2]Database-下拉框'!$B$7:$B$9</definedName>
    <definedName name="OR01_X1.1.2_核保人员管理情况" localSheetId="28">'[2]Database-下拉框'!$B$7:$B$9</definedName>
    <definedName name="OR01_X1.2.1_核保授权管理建设情况" localSheetId="25">'[2]Database-下拉框'!$B$10:$B$12</definedName>
    <definedName name="OR01_X1.2.1_核保授权管理建设情况" localSheetId="28">'[2]Database-下拉框'!$B$10:$B$12</definedName>
    <definedName name="OR01_X2.2.1.1_对需审批的保险条款和费率执行情况" localSheetId="25">'[2]Database-下拉框'!$B$13:$B$14</definedName>
    <definedName name="OR01_X2.2.1.1_对需审批的保险条款和费率执行情况" localSheetId="28">'[2]Database-下拉框'!$B$13:$B$14</definedName>
    <definedName name="OR01_X2.2.1.2_对不需审批的保险条款和费率执行情况" localSheetId="25">'[2]Database-下拉框'!$B$15:$B$16</definedName>
    <definedName name="OR01_X2.2.1.2_对不需审批的保险条款和费率执行情况" localSheetId="28">'[2]Database-下拉框'!$B$15:$B$16</definedName>
    <definedName name="OR01_X2.2.1.3_经保监会批准或备案的保险条款和费率的执行情况" localSheetId="25">'[2]Database-下拉框'!$B$17:$B$18</definedName>
    <definedName name="OR01_X2.2.1.3_经保监会批准或备案的保险条款和费率的执行情况" localSheetId="28">'[2]Database-下拉框'!$B$17:$B$18</definedName>
    <definedName name="OR01_X2.3_承保档案管理情况" localSheetId="25">'[2]Database-下拉框'!$B$37:$B$39</definedName>
    <definedName name="OR01_X2.3_承保档案管理情况" localSheetId="28">'[2]Database-下拉框'!$B$37:$B$39</definedName>
    <definedName name="OR01_X2.4.1_符合产品特点的应收保费管理细则制定情况" localSheetId="25">'[2]Database-下拉框'!$B$19:$B$20</definedName>
    <definedName name="OR01_X2.4.1_符合产品特点的应收保费管理细则制定情况" localSheetId="28">'[2]Database-下拉框'!$B$19:$B$20</definedName>
    <definedName name="OR01_X2.4.2_根据应收保费管理细则实施应收保费的日常管理情况" localSheetId="25">'[2]Database-下拉框'!$B$21:$B$22</definedName>
    <definedName name="OR01_X2.4.2_根据应收保费管理细则实施应收保费的日常管理情况" localSheetId="28">'[2]Database-下拉框'!$B$21:$B$22</definedName>
    <definedName name="OR01_X2.4.3_对应收账龄超过3个月的应收保费开展催收情况" localSheetId="25">'[2]Database-下拉框'!$B$23:$B$24</definedName>
    <definedName name="OR01_X2.4.3_对应收账龄超过3个月的应收保费开展催收情况" localSheetId="28">'[2]Database-下拉框'!$B$23:$B$24</definedName>
    <definedName name="OR01_X2.4.4_总公司应收保费考核开展情况" localSheetId="25">'[2]Database-下拉框'!$B$25:$B$26</definedName>
    <definedName name="OR01_X2.4.4_总公司应收保费考核开展情况" localSheetId="28">'[2]Database-下拉框'!$B$25:$B$26</definedName>
    <definedName name="OR01_X2.5.1_利用广告后其他宣传方式对保险条款内容和服务质量等做引人误解的宣传情况" localSheetId="25">'[2]Database-下拉框'!$B$27:$B$28</definedName>
    <definedName name="OR01_X2.5.1_利用广告后其他宣传方式对保险条款内容和服务质量等做引人误解的宣传情况" localSheetId="28">'[2]Database-下拉框'!$B$27:$B$28</definedName>
    <definedName name="OR01_X2.5.2_在销售活动中阻碍消费者履行如实告知义务或诱导其不履行如实告知义务情况" localSheetId="25">'[2]Database-下拉框'!$B$29:$B$30</definedName>
    <definedName name="OR01_X2.5.2_在销售活动中阻碍消费者履行如实告知义务或诱导其不履行如实告知义务情况" localSheetId="28">'[2]Database-下拉框'!$B$29:$B$30</definedName>
    <definedName name="OR01_X2.5.3_夸大保险产品保障情况" localSheetId="25">'[2]Database-下拉框'!$B$31:$B$32</definedName>
    <definedName name="OR01_X2.5.3_夸大保险产品保障情况" localSheetId="28">'[2]Database-下拉框'!$B$31:$B$32</definedName>
    <definedName name="OR01_X2.5.4_隐瞒合同重要内容如免责退保等内容情况" localSheetId="25">'[2]Database-下拉框'!$B$33:$B$34</definedName>
    <definedName name="OR01_X2.5.4_隐瞒合同重要内容如免责退保等内容情况" localSheetId="28">'[2]Database-下拉框'!$B$33:$B$34</definedName>
    <definedName name="OR01_X2.5.5_提供虚假产品信息情况" localSheetId="25">'[2]Database-下拉框'!$B$35:$B$36</definedName>
    <definedName name="OR01_X2.5.5_提供虚假产品信息情况" localSheetId="28">'[2]Database-下拉框'!$B$35:$B$36</definedName>
    <definedName name="OR01_X3.1.1.1_业务信息系统管理完整性" localSheetId="25">'[2]Database-下拉框'!$B$40:$B$41</definedName>
    <definedName name="OR01_X3.1.1.1_业务信息系统管理完整性" localSheetId="28">'[2]Database-下拉框'!$B$40:$B$41</definedName>
    <definedName name="OR01_X3.1.1.2_业务统计分析系统管理完整性" localSheetId="25">'[2]Database-下拉框'!$B$42:$B$43</definedName>
    <definedName name="OR01_X3.1.1.2_业务统计分析系统管理完整性" localSheetId="28">'[2]Database-下拉框'!$B$42:$B$43</definedName>
    <definedName name="OR01_X3.1.1.3_承保业务系统与再保、财务系统对接情况" localSheetId="25">'[2]Database-下拉框'!$B$44:$B$45</definedName>
    <definedName name="OR01_X3.1.1.3_承保业务系统与再保、财务系统对接情况" localSheetId="28">'[2]Database-下拉框'!$B$44:$B$45</definedName>
    <definedName name="OR01_X3.1.2_销售管理系统建设情况" localSheetId="25">'[2]Database-下拉框'!$B$46:$B$48</definedName>
    <definedName name="OR01_X3.1.2_销售管理系统建设情况" localSheetId="28">'[2]Database-下拉框'!$B$46:$B$48</definedName>
    <definedName name="OR01_X3.2.1_关键承保信息质量及一致性情况" localSheetId="25">'[2]Database-下拉框'!$B$49:$B$51</definedName>
    <definedName name="OR01_X3.2.1_关键承保信息质量及一致性情况" localSheetId="28">'[2]Database-下拉框'!$B$49:$B$51</definedName>
    <definedName name="OR01_X6.2_农业保险承保到户情况" localSheetId="25">'[2]Database-下拉框'!$B$52:$B$53</definedName>
    <definedName name="OR01_X6.2_农业保险承保到户情况" localSheetId="28">'[2]Database-下拉框'!$B$52:$B$53</definedName>
    <definedName name="OR02_D1.1_销售人员离职率" localSheetId="25">'[2]Database-分值计算'!$B$80:$C$83</definedName>
    <definedName name="OR02_D1.1_销售人员离职率" localSheetId="28">'[2]Database-分值计算'!$B$80:$C$83</definedName>
    <definedName name="OR02_D1.2_电话回访人员数量" localSheetId="25">'[2]Database-分值计算'!$B$84:$C$87</definedName>
    <definedName name="OR02_D1.2_电话回访人员数量" localSheetId="28">'[2]Database-分值计算'!$B$84:$C$87</definedName>
    <definedName name="OR02_D1.3_核保人员人均核保保单数量" localSheetId="25">'[2]Database-分值计算'!$B$88:$C$91</definedName>
    <definedName name="OR02_D1.3_核保人员人均核保保单数量" localSheetId="28">'[2]Database-分值计算'!$B$88:$C$91</definedName>
    <definedName name="OR02_D1.4_核保人员工作经验" localSheetId="25">'[2]Database-分值计算'!$B$92:$C$95</definedName>
    <definedName name="OR02_D1.4_核保人员工作经验" localSheetId="28">'[2]Database-分值计算'!$B$92:$C$95</definedName>
    <definedName name="OR02_D1.5_销售人员学历水平" localSheetId="25">'[2]Database-分值计算'!$B$96:$C$99</definedName>
    <definedName name="OR02_D1.5_销售人员学历水平" localSheetId="28">'[2]Database-分值计算'!$B$96:$C$99</definedName>
    <definedName name="OR02_D1.6_销售人员责任追究" localSheetId="25">'[2]Database-分值计算'!$B$100:$C$103</definedName>
    <definedName name="OR02_D1.6_销售人员责任追究" localSheetId="28">'[2]Database-分值计算'!$B$100:$C$103</definedName>
    <definedName name="OR02_D2.1_电话回访成功率" localSheetId="25">'[2]Database-分值计算'!$B$104:$C$106</definedName>
    <definedName name="OR02_D2.1_电话回访成功率" localSheetId="28">'[2]Database-分值计算'!$B$104:$C$106</definedName>
    <definedName name="OR02_D2.2_电客户信息真实性" localSheetId="25">'[2]Database-分值计算'!$B$106:$C$109</definedName>
    <definedName name="OR02_D2.2_电客户信息真实性" localSheetId="28">'[2]Database-分值计算'!$B$106:$C$109</definedName>
    <definedName name="OR02_D2.5_电话营销销售误导问题" localSheetId="25">'[2]Database-分值计算'!$B$110:$C$113</definedName>
    <definedName name="OR02_D2.5_电话营销销售误导问题" localSheetId="28">'[2]Database-分值计算'!$B$110:$C$113</definedName>
    <definedName name="OR02_D3.1_银保通系统得分" localSheetId="25">'[2]Database-分值计算'!$B$114:$C$115</definedName>
    <definedName name="OR02_D3.1_银保通系统得分" localSheetId="28">'[2]Database-分值计算'!$B$114:$C$115</definedName>
    <definedName name="OR02_D3.2.1_与核心业务系统实时对接" localSheetId="25">'[2]Database-分值计算'!$B$116:$C$117</definedName>
    <definedName name="OR02_D3.2.1_与核心业务系统实时对接" localSheetId="28">'[2]Database-分值计算'!$B$116:$C$117</definedName>
    <definedName name="OR02_D3.2.2_意外险保单信息记录的完整性" localSheetId="25">'[2]Database-分值计算'!$B$118:$C$119</definedName>
    <definedName name="OR02_D3.2.2_意外险保单信息记录的完整性" localSheetId="28">'[2]Database-分值计算'!$B$118:$C$119</definedName>
    <definedName name="OR02_D3.3.1_系统完整性控制功能得分" localSheetId="25">'[2]Database-分值计算'!$B$120:$C$122</definedName>
    <definedName name="OR02_D3.3.1_系统完整性控制功能得分" localSheetId="28">'[2]Database-分值计算'!$B$120:$C$122</definedName>
    <definedName name="OR02_D3.3.2_系统逻辑准确性功能得分" localSheetId="25">'[2]Database-分值计算'!$B$123:$C$125</definedName>
    <definedName name="OR02_D3.3.2_系统逻辑准确性功能得分" localSheetId="28">'[2]Database-分值计算'!$B$123:$C$125</definedName>
    <definedName name="OR02_D4.1_监管部门接到的关于承保、销售业务线的投诉得分" localSheetId="25">'[2]Database-分值计算'!$B$126:$C$130</definedName>
    <definedName name="OR02_D4.1_监管部门接到的关于承保、销售业务线的投诉得分" localSheetId="28">'[2]Database-分值计算'!$B$126:$C$130</definedName>
    <definedName name="OR02_D4.2_保险公司接到的关于承保、销售业务线的投诉得分" localSheetId="25">'[2]Database-分值计算'!$B$131:$C$135</definedName>
    <definedName name="OR02_D4.2_保险公司接到的关于承保、销售业务线的投诉得分" localSheetId="28">'[2]Database-分值计算'!$B$131:$C$135</definedName>
    <definedName name="OR02_X3.1_银邮保通系统" localSheetId="25">'[2]Database-下拉框'!$B$54:$B$55</definedName>
    <definedName name="OR02_X3.1_银邮保通系统" localSheetId="28">'[2]Database-下拉框'!$B$54:$B$55</definedName>
    <definedName name="OR02_X3.2.1_与核心业务系统实时对接" localSheetId="25">'[2]Database-下拉框'!$B$56:$B$57</definedName>
    <definedName name="OR02_X3.2.1_与核心业务系统实时对接" localSheetId="28">'[2]Database-下拉框'!$B$56:$B$57</definedName>
    <definedName name="OR02_X3.2.2_意外险保单信息记录的完整性" localSheetId="25">'[2]Database-下拉框'!$B$58:$B$59</definedName>
    <definedName name="OR02_X3.2.2_意外险保单信息记录的完整性" localSheetId="28">'[2]Database-下拉框'!$B$58:$B$59</definedName>
    <definedName name="OR02_X3.3.1_系统完整性控制功能得分" localSheetId="25">'[2]Database-下拉框'!$B$60:$B$62</definedName>
    <definedName name="OR02_X3.3.1_系统完整性控制功能得分" localSheetId="28">'[2]Database-下拉框'!$B$60:$B$62</definedName>
    <definedName name="OR02_X3.3.2_系统逻辑准确性功能得分" localSheetId="25">'[2]Database-下拉框'!$B$63:$B$65</definedName>
    <definedName name="OR02_X3.3.2_系统逻辑准确性功能得分" localSheetId="28">'[2]Database-下拉框'!$B$63:$B$65</definedName>
    <definedName name="OR03_D1.1.1_管理层离职率得分" localSheetId="25">'[2]Database-分值计算'!$B$136:$C$138</definedName>
    <definedName name="OR03_D1.1.1_管理层离职率得分" localSheetId="28">'[2]Database-分值计算'!$B$136:$C$138</definedName>
    <definedName name="OR03_D1.1.2_部门管理层从业经验得分" localSheetId="25">'[2]Database-分值计算'!$B$139:$C$141</definedName>
    <definedName name="OR03_D1.1.2_部门管理层从业经验得分" localSheetId="28">'[2]Database-分值计算'!$B$139:$C$141</definedName>
    <definedName name="OR03_D1.2_招聘、解雇得分" localSheetId="25">'[2]Database-分值计算'!$B$142:$C$144</definedName>
    <definedName name="OR03_D1.2_招聘、解雇得分" localSheetId="28">'[2]Database-分值计算'!$B$142:$C$144</definedName>
    <definedName name="OR03_D1.3_培训得分" localSheetId="25">'[2]Database-分值计算'!$B$145:$C$147</definedName>
    <definedName name="OR03_D1.3_培训得分" localSheetId="28">'[2]Database-分值计算'!$B$145:$C$147</definedName>
    <definedName name="OR03_D1.4_业绩管理、薪酬得分" localSheetId="25">'[2]Database-分值计算'!$B$148:$C$149</definedName>
    <definedName name="OR03_D1.4_业绩管理、薪酬得分" localSheetId="28">'[2]Database-分值计算'!$B$148:$C$149</definedName>
    <definedName name="OR03_D2.1.1_中介协议签订率得分" localSheetId="25">'[2]Database-分值计算'!$B$150:$C$151</definedName>
    <definedName name="OR03_D2.1.1_中介协议签订率得分" localSheetId="28">'[2]Database-分值计算'!$B$150:$C$151</definedName>
    <definedName name="OR03_D2.1.2_销售人员协议签订率得分" localSheetId="25">'[2]Database-分值计算'!$B$152:$C$153</definedName>
    <definedName name="OR03_D2.1.2_销售人员协议签订率得分" localSheetId="28">'[2]Database-分值计算'!$B$152:$C$153</definedName>
    <definedName name="OR03_D2.1.3_佣金支付方式得分" localSheetId="25">'[2]Database-分值计算'!$B$154:$C$156</definedName>
    <definedName name="OR03_D2.1.3_佣金支付方式得分" localSheetId="28">'[2]Database-分值计算'!$B$154:$C$156</definedName>
    <definedName name="OR03_D2.2.1_核保权限集中度得分" localSheetId="25">'[2]Database-分值计算'!$B$157:$C$159</definedName>
    <definedName name="OR03_D2.2.1_核保权限集中度得分" localSheetId="28">'[2]Database-分值计算'!$B$157:$C$159</definedName>
    <definedName name="OR03_D2.2.2_承保标的风险评估得分" localSheetId="25">'[2]Database-分值计算'!$B$160:$C$161</definedName>
    <definedName name="OR03_D2.2.2_承保标的风险评估得分" localSheetId="28">'[2]Database-分值计算'!$B$160:$C$161</definedName>
    <definedName name="OR03_D2.2.3_应收保费率得分" localSheetId="25">'[2]Database-分值计算'!$B$162:$C$164</definedName>
    <definedName name="OR03_D2.2.3_应收保费率得分" localSheetId="28">'[2]Database-分值计算'!$B$162:$C$164</definedName>
    <definedName name="OR03_D2.3.1_保费批退率得分" localSheetId="25">'[2]Database-分值计算'!$B$168:$C$170</definedName>
    <definedName name="OR03_D2.3.1_保费批退率得分" localSheetId="28">'[2]Database-分值计算'!$B$168:$C$170</definedName>
    <definedName name="OR03_D2.3.2_保全差错率得分" localSheetId="25">'[2]Database-分值计算'!$B$171:$C$173</definedName>
    <definedName name="OR03_D2.3.2_保全差错率得分" localSheetId="28">'[2]Database-分值计算'!$B$171:$C$173</definedName>
    <definedName name="OR03_D2.3.3_批减资金支付方式得分" localSheetId="25">'[2]Database-分值计算'!$B$174:$C$175</definedName>
    <definedName name="OR03_D2.3.3_批减资金支付方式得分" localSheetId="28">'[2]Database-分值计算'!$B$174:$C$175</definedName>
    <definedName name="OR03_D3.2_佣金系统计提得分" localSheetId="25">'[2]Database-分值计算'!$B$176:$C$177</definedName>
    <definedName name="OR03_D3.2_佣金系统计提得分" localSheetId="28">'[2]Database-分值计算'!$B$176:$C$177</definedName>
    <definedName name="OR03_D5_亿元保费销售、承保、保全操作风险事件数" localSheetId="25">'[2]Database-分值计算'!$B$178:$C$181</definedName>
    <definedName name="OR03_D5_亿元保费销售、承保、保全操作风险事件数" localSheetId="28">'[2]Database-分值计算'!$B$178:$C$181</definedName>
    <definedName name="OR03_X1.4_业绩考核" localSheetId="25">'[2]Database-下拉框'!$B$72:$B$73</definedName>
    <definedName name="OR03_X1.4_业绩考核" localSheetId="28">'[2]Database-下拉框'!$B$72:$B$73</definedName>
    <definedName name="OR03_X2.1.3_佣金支付方式得分" localSheetId="25">'[2]Database-下拉框'!$B$66:$B$68</definedName>
    <definedName name="OR03_X2.1.3_佣金支付方式得分" localSheetId="28">'[2]Database-下拉框'!$B$66:$B$68</definedName>
    <definedName name="OR03_X2.2.1_核保权限集中度得分" localSheetId="25">'[2]Database-下拉框'!$B$69:$B$71</definedName>
    <definedName name="OR03_X2.2.1_核保权限集中度得分" localSheetId="28">'[2]Database-下拉框'!$B$69:$B$71</definedName>
    <definedName name="OR03_X2.2.2_承保标的风险评估" localSheetId="25">'[2]Database-下拉框'!$B$74:$B$75</definedName>
    <definedName name="OR03_X2.2.2_承保标的风险评估" localSheetId="28">'[2]Database-下拉框'!$B$74:$B$75</definedName>
    <definedName name="OR03_X2.3.3_批减资金支付方式" localSheetId="25">'[2]Database-下拉框'!$B$76:$B$77</definedName>
    <definedName name="OR03_X2.3.3_批减资金支付方式" localSheetId="28">'[2]Database-下拉框'!$B$76:$B$77</definedName>
    <definedName name="OR03_X3.2_佣金系统计提" localSheetId="25">'[2]Database-下拉框'!$B$78:$B$79</definedName>
    <definedName name="OR03_X3.2_佣金系统计提" localSheetId="28">'[2]Database-下拉框'!$B$78:$B$79</definedName>
    <definedName name="OR04_D1.1.1_管理层离职率得分" localSheetId="25">'[2]Database-分值计算'!$B$182:$C$184</definedName>
    <definedName name="OR04_D1.1.1_管理层离职率得分" localSheetId="28">'[2]Database-分值计算'!$B$182:$C$184</definedName>
    <definedName name="OR04_D1.1.2_部门管理层从业经验得分" localSheetId="25">'[2]Database-分值计算'!$B$185:$C$187</definedName>
    <definedName name="OR04_D1.1.2_部门管理层从业经验得分" localSheetId="28">'[2]Database-分值计算'!$B$185:$C$187</definedName>
    <definedName name="OR04_D1.2_招聘、解雇得分" localSheetId="25">'[2]Database-分值计算'!$B$188:$C$190</definedName>
    <definedName name="OR04_D1.2_招聘、解雇得分" localSheetId="28">'[2]Database-分值计算'!$B$188:$C$190</definedName>
    <definedName name="OR04_D1.3_培训得分" localSheetId="25">'[2]Database-分值计算'!$B$191:$C$193</definedName>
    <definedName name="OR04_D1.3_培训得分" localSheetId="28">'[2]Database-分值计算'!$B$191:$C$193</definedName>
    <definedName name="OR04_D1.4_业绩管理、薪酬得分" localSheetId="25">'[2]Database-分值计算'!$B$194:$C$195</definedName>
    <definedName name="OR04_D1.4_业绩管理、薪酬得分" localSheetId="28">'[2]Database-分值计算'!$B$194:$C$195</definedName>
    <definedName name="OR04_D2.1.1_中介协议签订率得分" localSheetId="25">'[2]Database-分值计算'!$B$196:$C$197</definedName>
    <definedName name="OR04_D2.1.1_中介协议签订率得分" localSheetId="28">'[2]Database-分值计算'!$B$196:$C$197</definedName>
    <definedName name="OR04_D2.1.2_销售人员协议签订率得分" localSheetId="25">'[2]Database-分值计算'!$B$198:$C$199</definedName>
    <definedName name="OR04_D2.1.2_销售人员协议签订率得分" localSheetId="28">'[2]Database-分值计算'!$B$198:$C$199</definedName>
    <definedName name="OR04_D2.1.3_千张保单投诉量得分" localSheetId="25">'[2]Database-分值计算'!$B$200:$C$202</definedName>
    <definedName name="OR04_D2.1.3_千张保单投诉量得分" localSheetId="28">'[2]Database-分值计算'!$B$200:$C$202</definedName>
    <definedName name="OR04_D2.2.1_承保标的风险评估得分" localSheetId="25">'[2]Database-分值计算'!$B$203:$C$204</definedName>
    <definedName name="OR04_D2.2.1_承保标的风险评估得分" localSheetId="28">'[2]Database-分值计算'!$B$203:$C$204</definedName>
    <definedName name="OR04_D2.2.2_犹豫期内电话回访成功率得分" localSheetId="25">'[2]Database-分值计算'!$B$205:$C$208</definedName>
    <definedName name="OR04_D2.2.2_犹豫期内电话回访成功率得分" localSheetId="28">'[2]Database-分值计算'!$B$205:$C$208</definedName>
    <definedName name="OR04_D2.3.1_续期收费率得分" localSheetId="25">'[2]Database-分值计算'!$B$212:$C$214</definedName>
    <definedName name="OR04_D2.3.1_续期收费率得分" localSheetId="28">'[2]Database-分值计算'!$B$212:$C$214</definedName>
    <definedName name="OR04_D2.3.2_保全变更完成率得分" localSheetId="25">'[2]Database-分值计算'!$B$215:$C$217</definedName>
    <definedName name="OR04_D2.3.2_保全变更完成率得分" localSheetId="28">'[2]Database-分值计算'!$B$215:$C$217</definedName>
    <definedName name="OR04_D2.3.3_退撤保率得分" localSheetId="25">'[2]Database-分值计算'!$B$218:$C$220</definedName>
    <definedName name="OR04_D2.3.3_退撤保率得分" localSheetId="28">'[2]Database-分值计算'!$B$218:$C$220</definedName>
    <definedName name="OR04_D2.3.4_保单失效率得分" localSheetId="25">'[2]Database-分值计算'!$B$221:$C$223</definedName>
    <definedName name="OR04_D2.3.4_保单失效率得分" localSheetId="28">'[2]Database-分值计算'!$B$221:$C$223</definedName>
    <definedName name="OR04_D2.3.5_保全差错率得分" localSheetId="25">'[2]Database-分值计算'!$B$224:$C$226</definedName>
    <definedName name="OR04_D2.3.5_保全差错率得分" localSheetId="28">'[2]Database-分值计算'!$B$224:$C$226</definedName>
    <definedName name="OR04_D2.3.6_保单质押贷款支付方式得分" localSheetId="25">'[2]Database-分值计算'!$B$227:$C$228</definedName>
    <definedName name="OR04_D2.3.6_保单质押贷款支付方式得分" localSheetId="28">'[2]Database-分值计算'!$B$227:$C$228</definedName>
    <definedName name="OR04_D3.2_佣金系统计提得分" localSheetId="25">'[2]Database-分值计算'!$B$229:$C$230</definedName>
    <definedName name="OR04_D3.2_佣金系统计提得分" localSheetId="28">'[2]Database-分值计算'!$B$229:$C$230</definedName>
    <definedName name="OR04_D5_亿元保费销售、承保、保全操作风险事件数" localSheetId="25">'[2]Database-分值计算'!$B$231:$C$234</definedName>
    <definedName name="OR04_D5_亿元保费销售、承保、保全操作风险事件数" localSheetId="28">'[2]Database-分值计算'!$B$231:$C$234</definedName>
    <definedName name="OR04_X1.4_业绩考核" localSheetId="25">'[2]Database-下拉框'!$B$80:$B$81</definedName>
    <definedName name="OR04_X1.4_业绩考核" localSheetId="28">'[2]Database-下拉框'!$B$80:$B$81</definedName>
    <definedName name="OR04_X2.2.1_承保标的风险评估" localSheetId="25">'[2]Database-下拉框'!$B$82:$B$83</definedName>
    <definedName name="OR04_X2.2.1_承保标的风险评估" localSheetId="28">'[2]Database-下拉框'!$B$82:$B$83</definedName>
    <definedName name="OR04_X2.3.6_保单质押贷款支付方式" localSheetId="25">'[2]Database-下拉框'!$B$84:$B$85</definedName>
    <definedName name="OR04_X2.3.6_保单质押贷款支付方式" localSheetId="28">'[2]Database-下拉框'!$B$84:$B$85</definedName>
    <definedName name="OR04_X3.2_佣金系统计提" localSheetId="25">'[2]Database-下拉框'!$B$86:$B$87</definedName>
    <definedName name="OR04_X3.2_佣金系统计提" localSheetId="28">'[2]Database-下拉框'!$B$86:$B$87</definedName>
    <definedName name="OR05_D1_不相容职务分离得分" localSheetId="25">'[2]Database-分值计算'!$B$235:$C$237</definedName>
    <definedName name="OR05_D1_不相容职务分离得分" localSheetId="28">'[2]Database-分值计算'!$B$235:$C$237</definedName>
    <definedName name="OR05_D2.1_特殊环节集中度得分" localSheetId="25">'[2]Database-分值计算'!$B$238:$C$239</definedName>
    <definedName name="OR05_D2.1_特殊环节集中度得分" localSheetId="28">'[2]Database-分值计算'!$B$238:$C$239</definedName>
    <definedName name="OR05_D2.2.1限时立案率得分" localSheetId="25">'[2]Database-分值计算'!$B$240:$C$242</definedName>
    <definedName name="OR05_D2.2.1限时立案率得分" localSheetId="28">'[2]Database-分值计算'!$B$240:$C$242</definedName>
    <definedName name="OR05_D2.3立案注销率得分" localSheetId="25">'[2]Database-分值计算'!$B$243:$C$245</definedName>
    <definedName name="OR05_D2.3立案注销率得分" localSheetId="28">'[2]Database-分值计算'!$B$243:$C$245</definedName>
    <definedName name="OR05_D2.4立案注销恢复率得分" localSheetId="25">'[2]Database-分值计算'!$B$246:$C$248</definedName>
    <definedName name="OR05_D2.4立案注销恢复率得分" localSheetId="28">'[2]Database-分值计算'!$B$246:$C$248</definedName>
    <definedName name="OR05_D2.5_已发生已报告未决赔款准备金发展偏差率_II类公司" localSheetId="25">'[2]Database-分值计算'!$B$256:$C$260</definedName>
    <definedName name="OR05_D2.5_已发生已报告未决赔款准备金发展偏差率_II类公司" localSheetId="28">'[2]Database-分值计算'!$B$256:$C$260</definedName>
    <definedName name="OR05_D2.5_已发生已报告未决赔款准备金发展偏差率_I类公司" localSheetId="25">'[2]Database-分值计算'!$B$251:$C$255</definedName>
    <definedName name="OR05_D2.5_已发生已报告未决赔款准备金发展偏差率_I类公司" localSheetId="28">'[2]Database-分值计算'!$B$251:$C$255</definedName>
    <definedName name="OR05_D2.5_已发生已报告未决赔款准备金发展偏差率得分" localSheetId="25">'[2]Database-分值计算'!$B$249:$C$250</definedName>
    <definedName name="OR05_D2.5_已发生已报告未决赔款准备金发展偏差率得分" localSheetId="28">'[2]Database-分值计算'!$B$249:$C$250</definedName>
    <definedName name="OR05_D2.6注销恢复及案件重开率得分" localSheetId="25">'[2]Database-分值计算'!$B$261:$C$263</definedName>
    <definedName name="OR05_D2.6注销恢复及案件重开率得分" localSheetId="28">'[2]Database-分值计算'!$B$261:$C$263</definedName>
    <definedName name="OR05_D2.7.1车险报案结案率得分" localSheetId="25">'[2]Database-分值计算'!$B$264:$C$266</definedName>
    <definedName name="OR05_D2.7.1车险报案结案率得分" localSheetId="28">'[2]Database-分值计算'!$B$264:$C$266</definedName>
    <definedName name="OR05_D2.7.2非车险报案结案率得分" localSheetId="25">'[2]Database-分值计算'!$B$267:$C$269</definedName>
    <definedName name="OR05_D2.7.2非车险报案结案率得分" localSheetId="28">'[2]Database-分值计算'!$B$267:$C$269</definedName>
    <definedName name="OR05_D4_理赔反欺诈模块" localSheetId="25">'[2]Database-分值计算'!$B$270:$C$272</definedName>
    <definedName name="OR05_D4_理赔反欺诈模块" localSheetId="28">'[2]Database-分值计算'!$B$270:$C$272</definedName>
    <definedName name="OR05_D5.1_行业人员水平调整得分" localSheetId="25">'[2]Database-分值计算'!$B$273:$C$275</definedName>
    <definedName name="OR05_D5.1_行业人员水平调整得分" localSheetId="28">'[2]Database-分值计算'!$B$273:$C$275</definedName>
    <definedName name="OR05_D5.2_行业内控水平调整得分" localSheetId="25">'[2]Database-分值计算'!$B$276:$C$278</definedName>
    <definedName name="OR05_D5.2_行业内控水平调整得分" localSheetId="28">'[2]Database-分值计算'!$B$276:$C$278</definedName>
    <definedName name="OR05_D5.3_行业系统水平调整得分" localSheetId="25">'[2]Database-分值计算'!$B$279:$C$281</definedName>
    <definedName name="OR05_D5.3_行业系统水平调整得分" localSheetId="28">'[2]Database-分值计算'!$B$279:$C$281</definedName>
    <definedName name="OR05_D6.1_内部稽核" localSheetId="25">'[2]Database-分值计算'!$B$282:$C$285</definedName>
    <definedName name="OR05_D6.1_内部稽核" localSheetId="28">'[2]Database-分值计算'!$B$282:$C$285</definedName>
    <definedName name="OR05_D6.2_赔付后回访率得分" localSheetId="25">'[2]Database-分值计算'!$B$286:$C$288</definedName>
    <definedName name="OR05_D6.2_赔付后回访率得分" localSheetId="28">'[2]Database-分值计算'!$B$286:$C$288</definedName>
    <definedName name="OR05_X1_不相容职务分离" localSheetId="25">'[2]Database-下拉框'!$B$88:$B$90</definedName>
    <definedName name="OR05_X1_不相容职务分离" localSheetId="28">'[2]Database-下拉框'!$B$88:$B$90</definedName>
    <definedName name="OR05_X2.1_特殊环节集中度" localSheetId="25">'[2]Database-下拉框'!$B$91:$B$92</definedName>
    <definedName name="OR05_X2.1_特殊环节集中度" localSheetId="28">'[2]Database-下拉框'!$B$91:$B$92</definedName>
    <definedName name="OR05_X4_理赔反欺诈模块" localSheetId="25">'[2]Database-下拉框'!$B$93:$B$95</definedName>
    <definedName name="OR05_X4_理赔反欺诈模块" localSheetId="28">'[2]Database-下拉框'!$B$93:$B$95</definedName>
    <definedName name="OR05_X6.1_内部稽核" localSheetId="25">'[2]Database-下拉框'!$B$96:$B$99</definedName>
    <definedName name="OR05_X6.1_内部稽核" localSheetId="28">'[2]Database-下拉框'!$B$96:$B$99</definedName>
    <definedName name="OR06_D1.1_理赔人员人均办理理赔案件数量得分" localSheetId="25">'[2]Database-分值计算'!$B$289:$C$292</definedName>
    <definedName name="OR06_D1.1_理赔人员人均办理理赔案件数量得分" localSheetId="28">'[2]Database-分值计算'!$B$289:$C$292</definedName>
    <definedName name="OR06_D1.2_理赔人员人均办理理赔案件数量得分" localSheetId="25">'[2]Database-分值计算'!$B$293:$C$296</definedName>
    <definedName name="OR06_D1.2_理赔人员人均办理理赔案件数量得分" localSheetId="28">'[2]Database-分值计算'!$B$293:$C$296</definedName>
    <definedName name="OR06_D1.3_理赔工作经验得分" localSheetId="25">'[2]Database-分值计算'!$B$297:$C$300</definedName>
    <definedName name="OR06_D1.3_理赔工作经验得分" localSheetId="28">'[2]Database-分值计算'!$B$297:$C$300</definedName>
    <definedName name="OR06_D1.4_保全工作经验得分" localSheetId="25">'[2]Database-分值计算'!$B$301:$C$304</definedName>
    <definedName name="OR06_D1.4_保全工作经验得分" localSheetId="28">'[2]Database-分值计算'!$B$301:$C$304</definedName>
    <definedName name="OR06_D2.1_索赔核定平均时长得分" localSheetId="25">'[2]Database-分值计算'!$B$305:$C$306</definedName>
    <definedName name="OR06_D2.1_索赔核定平均时长得分" localSheetId="28">'[2]Database-分值计算'!$B$305:$C$306</definedName>
    <definedName name="OR06_D2.1_索赔核定平均时长行业均值大于8" localSheetId="25">'[2]Database-分值计算'!$B$307:$C$309</definedName>
    <definedName name="OR06_D2.1_索赔核定平均时长行业均值大于8" localSheetId="28">'[2]Database-分值计算'!$B$307:$C$309</definedName>
    <definedName name="OR06_D2.1_索赔核定平均时长行业均值小于8" localSheetId="25">'[2]Database-分值计算'!$B$310:$C$313</definedName>
    <definedName name="OR06_D2.1_索赔核定平均时长行业均值小于8" localSheetId="28">'[2]Database-分值计算'!$B$310:$C$313</definedName>
    <definedName name="OR06_D2.2_赔款支付平均时长得分" localSheetId="25">'[2]Database-分值计算'!$B$314:$C$315</definedName>
    <definedName name="OR06_D2.2_赔款支付平均时长得分" localSheetId="28">'[2]Database-分值计算'!$B$314:$C$315</definedName>
    <definedName name="OR06_D2.2_赔款支付平均时长行业均值大于10" localSheetId="25">'[2]Database-分值计算'!$B$316:$C$318</definedName>
    <definedName name="OR06_D2.2_赔款支付平均时长行业均值大于10" localSheetId="28">'[2]Database-分值计算'!$B$316:$C$318</definedName>
    <definedName name="OR06_D2.2_赔款支付平均时长行业均值小于10" localSheetId="25">'[2]Database-分值计算'!$B$319:$C$322</definedName>
    <definedName name="OR06_D2.2_赔款支付平均时长行业均值小于10" localSheetId="28">'[2]Database-分值计算'!$B$319:$C$322</definedName>
    <definedName name="OR06_D2.3保全受理平均时长得分" localSheetId="25">'[2]Database-分值计算'!$B$323:$C$324</definedName>
    <definedName name="OR06_D2.3保全受理平均时长得分" localSheetId="28">'[2]Database-分值计算'!$B$323:$C$324</definedName>
    <definedName name="OR06_D2.3保全受理平均时长行业均值大于2" localSheetId="25">'[2]Database-分值计算'!$B$325:$C$327</definedName>
    <definedName name="OR06_D2.3保全受理平均时长行业均值大于2" localSheetId="28">'[2]Database-分值计算'!$B$325:$C$327</definedName>
    <definedName name="OR06_D2.3保全受理平均时长行业均值小于2" localSheetId="25">'[2]Database-分值计算'!$B$328:$C$331</definedName>
    <definedName name="OR06_D2.3保全受理平均时长行业均值小于2" localSheetId="28">'[2]Database-分值计算'!$B$328:$C$331</definedName>
    <definedName name="OR06_D2.4保全处理平均时长得分" localSheetId="25">'[2]Database-分值计算'!$B$332:$C$333</definedName>
    <definedName name="OR06_D2.4保全处理平均时长得分" localSheetId="28">'[2]Database-分值计算'!$B$332:$C$333</definedName>
    <definedName name="OR06_D2.4保全处理平均时长得分行业均值大于5" localSheetId="25">'[2]Database-分值计算'!$B$334:$C$336</definedName>
    <definedName name="OR06_D2.4保全处理平均时长得分行业均值大于5" localSheetId="28">'[2]Database-分值计算'!$B$334:$C$336</definedName>
    <definedName name="OR06_D2.4保全处理平均时长得分行业均值小于5" localSheetId="25">'[2]Database-分值计算'!$B$337:$C$340</definedName>
    <definedName name="OR06_D2.4保全处理平均时长得分行业均值小于5" localSheetId="28">'[2]Database-分值计算'!$B$337:$C$340</definedName>
    <definedName name="OR06_D2.5投诉处理平均时长得分" localSheetId="25">'[2]Database-分值计算'!$B$341:$C$342</definedName>
    <definedName name="OR06_D2.5投诉处理平均时长得分" localSheetId="28">'[2]Database-分值计算'!$B$341:$C$342</definedName>
    <definedName name="OR06_D2.5投诉处理平均时长得分行业均值大于10" localSheetId="25">'[2]Database-分值计算'!$B$343:$C$345</definedName>
    <definedName name="OR06_D2.5投诉处理平均时长得分行业均值大于10" localSheetId="28">'[2]Database-分值计算'!$B$343:$C$345</definedName>
    <definedName name="OR06_D2.5投诉处理平均时长得分行业均值小于10" localSheetId="25">'[2]Database-分值计算'!$B$346:$C$349</definedName>
    <definedName name="OR06_D2.5投诉处理平均时长得分行业均值小于10" localSheetId="28">'[2]Database-分值计算'!$B$346:$C$349</definedName>
    <definedName name="OR06_D4.1_监管部门接到的关于理赔、保全业务线的投诉得分" localSheetId="25">'[2]Database-分值计算'!$B$350:$C$354</definedName>
    <definedName name="OR06_D4.1_监管部门接到的关于理赔、保全业务线的投诉得分" localSheetId="28">'[2]Database-分值计算'!$B$350:$C$354</definedName>
    <definedName name="OR06_D4.2_保险公司接到的关于理赔、保全业务线的投诉得分" localSheetId="25">'[2]Database-分值计算'!$B$355:$C$359</definedName>
    <definedName name="OR06_D4.2_保险公司接到的关于理赔、保全业务线的投诉得分" localSheetId="28">'[2]Database-分值计算'!$B$355:$C$359</definedName>
    <definedName name="OR07_D1.1_领导能力" localSheetId="25">'[2]Database-分值计算'!$B$360:$C$362</definedName>
    <definedName name="OR07_D1.1_领导能力" localSheetId="28">'[2]Database-分值计算'!$B$360:$C$362</definedName>
    <definedName name="OR07_D1.2_招聘、解雇" localSheetId="25">'[2]Database-分值计算'!$B$363:$C$365</definedName>
    <definedName name="OR07_D1.2_招聘、解雇" localSheetId="28">'[2]Database-分值计算'!$B$363:$C$365</definedName>
    <definedName name="OR07_D1.4_业绩管理、薪酬" localSheetId="25">'[2]Database-分值计算'!$B$369:$C$370</definedName>
    <definedName name="OR07_D1.4_业绩管理、薪酬" localSheetId="28">'[2]Database-分值计算'!$B$369:$C$370</definedName>
    <definedName name="OR07_D2.1_理赔权限管理" localSheetId="25">'[2]Database-分值计算'!$B$371:$C$372</definedName>
    <definedName name="OR07_D2.1_理赔权限管理" localSheetId="28">'[2]Database-分值计算'!$B$371:$C$372</definedName>
    <definedName name="OR07_D2.2_报案立案率" localSheetId="25">'[2]Database-分值计算'!$B$373:$C$374</definedName>
    <definedName name="OR07_D2.2_报案立案率" localSheetId="28">'[2]Database-分值计算'!$B$373:$C$374</definedName>
    <definedName name="OR07_D2.3_部门负责人培训" localSheetId="25">'[2]Database-分值计算'!$B$375:$C$377</definedName>
    <definedName name="OR07_D2.3_部门负责人培训" localSheetId="28">'[2]Database-分值计算'!$B$375:$C$377</definedName>
    <definedName name="OR07_D2.4_案均核赔支付时效" localSheetId="25">'[2]Database-分值计算'!$B$378:$C$380</definedName>
    <definedName name="OR07_D2.4_案均核赔支付时效" localSheetId="28">'[2]Database-分值计算'!$B$378:$C$380</definedName>
    <definedName name="OR07_D2.5_赔款转账直付比例" localSheetId="25">'[2]Database-分值计算'!$B$381:$C$383</definedName>
    <definedName name="OR07_D2.5_赔款转账直付比例" localSheetId="28">'[2]Database-分值计算'!$B$381:$C$383</definedName>
    <definedName name="OR07_D2.6_已发生已报告未决赔款准备金发展偏差率" localSheetId="25">'[2]Database-分值计算'!$B$384:$C$386</definedName>
    <definedName name="OR07_D2.6_已发生已报告未决赔款准备金发展偏差率" localSheetId="28">'[2]Database-分值计算'!$B$384:$C$386</definedName>
    <definedName name="OR07_D2.7_千张保单投诉量" localSheetId="25">'[2]Database-分值计算'!$B$387:$C$389</definedName>
    <definedName name="OR07_D2.7_千张保单投诉量" localSheetId="28">'[2]Database-分值计算'!$B$387:$C$389</definedName>
    <definedName name="OR07_D3.2_反欺诈识别" localSheetId="25">'[2]Database-分值计算'!$B$390:$C$391</definedName>
    <definedName name="OR07_D3.2_反欺诈识别" localSheetId="28">'[2]Database-分值计算'!$B$390:$C$391</definedName>
    <definedName name="OR07_D3.3_系统对接" localSheetId="25">'[2]Database-分值计算'!$B$392:$C$393</definedName>
    <definedName name="OR07_D3.3_系统对接" localSheetId="28">'[2]Database-分值计算'!$B$392:$C$393</definedName>
    <definedName name="OR07_D5_基于行业总体水平的调整" localSheetId="25">'[2]Database-分值计算'!$B$394:$C$397</definedName>
    <definedName name="OR07_D5_基于行业总体水平的调整" localSheetId="28">'[2]Database-分值计算'!$B$394:$C$397</definedName>
    <definedName name="OR07_X1.3_部门负责人培训" localSheetId="25">'[2]Database-下拉框'!#REF!</definedName>
    <definedName name="OR07_X1.3_部门负责人培训" localSheetId="28">'[2]Database-下拉框'!#REF!</definedName>
    <definedName name="OR07_X1.4_业绩管理、薪酬" localSheetId="25">'[2]Database-下拉框'!$B$100:$B$101</definedName>
    <definedName name="OR07_X1.4_业绩管理、薪酬" localSheetId="28">'[2]Database-下拉框'!$B$100:$B$101</definedName>
    <definedName name="OR07_X2.1_理赔权限管理" localSheetId="25">'[2]Database-下拉框'!$B$102:$B$103</definedName>
    <definedName name="OR07_X2.1_理赔权限管理" localSheetId="28">'[2]Database-下拉框'!$B$102:$B$103</definedName>
    <definedName name="OR07_X3.2_反欺诈识别" localSheetId="25">'[2]Database-下拉框'!$B$104:$B$105</definedName>
    <definedName name="OR07_X3.2_反欺诈识别" localSheetId="28">'[2]Database-下拉框'!$B$104:$B$105</definedName>
    <definedName name="OR07_X3.3_系统对接" localSheetId="25">'[2]Database-下拉框'!$B$106:$B$107</definedName>
    <definedName name="OR07_X3.3_系统对接" localSheetId="28">'[2]Database-下拉框'!$B$106:$B$107</definedName>
    <definedName name="OR08_D1.1_领导能力" localSheetId="25">'[2]Database-分值计算'!$B$398:$C$400</definedName>
    <definedName name="OR08_D1.1_领导能力" localSheetId="28">'[2]Database-分值计算'!$B$398:$C$400</definedName>
    <definedName name="OR08_D1.2_招聘、解雇" localSheetId="25">'[2]Database-分值计算'!$B$401:$C$403</definedName>
    <definedName name="OR08_D1.2_招聘、解雇" localSheetId="28">'[2]Database-分值计算'!$B$401:$C$403</definedName>
    <definedName name="OR08_D1.4_业绩管理、薪酬" localSheetId="25">'[2]Database-分值计算'!$B$407:$C$408</definedName>
    <definedName name="OR08_D1.4_业绩管理、薪酬" localSheetId="28">'[2]Database-分值计算'!$B$407:$C$408</definedName>
    <definedName name="OR08_D2.1_案均核赔支付时效" localSheetId="25">'[2]Database-分值计算'!$B$409:$C$411</definedName>
    <definedName name="OR08_D2.1_案均核赔支付时效" localSheetId="28">'[2]Database-分值计算'!$B$409:$C$411</definedName>
    <definedName name="OR08_D2.2_理赔服务时效得分" localSheetId="25">'[2]Database-分值计算'!$B$412:$C$415</definedName>
    <definedName name="OR08_D2.2_理赔服务时效得分" localSheetId="28">'[2]Database-分值计算'!$B$412:$C$415</definedName>
    <definedName name="OR08_D2.3_赔款转账直付比例" localSheetId="25">'[2]Database-分值计算'!$B$416:$C$418</definedName>
    <definedName name="OR08_D2.3_赔款转账直付比例" localSheetId="28">'[2]Database-分值计算'!$B$416:$C$418</definedName>
    <definedName name="OR08_D2.4_非寿险业务估损代数偏差率" localSheetId="25">'[2]Database-分值计算'!$B$419:$C$420</definedName>
    <definedName name="OR08_D2.4_非寿险业务估损代数偏差率" localSheetId="28">'[2]Database-分值计算'!$B$419:$C$420</definedName>
    <definedName name="OR08_D3.2_反欺诈识别" localSheetId="25">'[2]Database-分值计算'!$B$421:$C$422</definedName>
    <definedName name="OR08_D3.2_反欺诈识别" localSheetId="28">'[2]Database-分值计算'!$B$421:$C$422</definedName>
    <definedName name="OR08_D3.3_系统对接" localSheetId="25">'[2]Database-分值计算'!$B$423:$C$424</definedName>
    <definedName name="OR08_D3.3_系统对接" localSheetId="28">'[2]Database-分值计算'!$B$423:$C$424</definedName>
    <definedName name="OR08_D5_基于行业总体水平的调整" localSheetId="25">'[2]Database-分值计算'!$B$425:$C$428</definedName>
    <definedName name="OR08_D5_基于行业总体水平的调整" localSheetId="28">'[2]Database-分值计算'!$B$425:$C$428</definedName>
    <definedName name="OR08_X1.3_部门负责人培训" localSheetId="25">'[2]Database-下拉框'!#REF!</definedName>
    <definedName name="OR08_X1.3_部门负责人培训" localSheetId="28">'[2]Database-下拉框'!#REF!</definedName>
    <definedName name="OR08_X1.4_业绩管理、薪酬" localSheetId="25">'[2]Database-下拉框'!$B$108:$B$109</definedName>
    <definedName name="OR08_X1.4_业绩管理、薪酬" localSheetId="28">'[2]Database-下拉框'!$B$108:$B$109</definedName>
    <definedName name="OR08_X3.2_反欺诈识别" localSheetId="25">'[2]Database-下拉框'!$B$110:$B$111</definedName>
    <definedName name="OR08_X3.2_反欺诈识别" localSheetId="28">'[2]Database-下拉框'!$B$110:$B$111</definedName>
    <definedName name="OR08_X3.3_系统对接" localSheetId="25">'[2]Database-下拉框'!$B$112:$B$113</definedName>
    <definedName name="OR08_X3.3_系统对接" localSheetId="28">'[2]Database-下拉框'!$B$112:$B$113</definedName>
    <definedName name="OR09_D1.1_再保险业务管理情况" localSheetId="25">'[2]Database-分值计算'!$B$429:$C$431</definedName>
    <definedName name="OR09_D1.1_再保险业务管理情况" localSheetId="28">'[2]Database-分值计算'!$B$429:$C$431</definedName>
    <definedName name="OR09_D1.2_再保险分入业务分工情况" localSheetId="25">'[2]Database-分值计算'!$B$432:$C$433</definedName>
    <definedName name="OR09_D1.2_再保险分入业务分工情况" localSheetId="28">'[2]Database-分值计算'!$B$432:$C$433</definedName>
    <definedName name="OR09_D2.2.1_再保险接受人及经纪人资信管理情况" localSheetId="25">'[2]Database-分值计算'!$B$434:$C$435</definedName>
    <definedName name="OR09_D2.2.1_再保险接受人及经纪人资信管理情况" localSheetId="28">'[2]Database-分值计算'!$B$434:$C$435</definedName>
    <definedName name="OR09_D2.2.3_再保险接受人信用风险突发应急预案管理情况" localSheetId="25">'[2]Database-分值计算'!$B$436:$C$437</definedName>
    <definedName name="OR09_D2.2.3_再保险接受人信用风险突发应急预案管理情况" localSheetId="28">'[2]Database-分值计算'!$B$436:$C$437</definedName>
    <definedName name="OR09_D2.3.2_需续保的再保合约业务及时性得分" localSheetId="25">'[2]Database-分值计算'!$B$438:$C$439</definedName>
    <definedName name="OR09_D2.3.2_需续保的再保合约业务及时性得分" localSheetId="28">'[2]Database-分值计算'!$B$438:$C$439</definedName>
    <definedName name="OR09_D2.5.1_再保险应收应付款项管理情况" localSheetId="25">'[2]Database-分值计算'!$B$440:$C$441</definedName>
    <definedName name="OR09_D2.5.1_再保险应收应付款项管理情况" localSheetId="28">'[2]Database-分值计算'!$B$440:$C$441</definedName>
    <definedName name="OR09_D2.6.1_每一危险单位划分符合相关法律法规情况得分" localSheetId="25">'[2]Database-分值计算'!$B$442:$C$443</definedName>
    <definedName name="OR09_D2.6.1_每一危险单位划分符合相关法律法规情况得分" localSheetId="28">'[2]Database-分值计算'!$B$442:$C$443</definedName>
    <definedName name="OR09_D2.6.2_每一危险单位划分符合公司内部规定情况得分" localSheetId="25">'[2]Database-分值计算'!$B$444:$C$445</definedName>
    <definedName name="OR09_D2.6.2_每一危险单位划分符合公司内部规定情况得分" localSheetId="28">'[2]Database-分值计算'!$B$444:$C$445</definedName>
    <definedName name="OR09_D2.8.1_完成外部审计" localSheetId="25">'[2]Database-分值计算'!$B$446:$C$447</definedName>
    <definedName name="OR09_D2.8.1_完成外部审计" localSheetId="28">'[2]Database-分值计算'!$B$446:$C$447</definedName>
    <definedName name="OR09_D2.8.2_完成内部审计" localSheetId="25">'[2]Database-分值计算'!$B$448:$C$449</definedName>
    <definedName name="OR09_D2.8.2_完成内部审计" localSheetId="28">'[2]Database-分值计算'!$B$448:$C$449</definedName>
    <definedName name="OR09_D3.1_再保系统与其他系统链接" localSheetId="25">'[2]Database-分值计算'!$B$450:$C$451</definedName>
    <definedName name="OR09_D3.1_再保系统与其他系统链接" localSheetId="28">'[2]Database-分值计算'!$B$450:$C$451</definedName>
    <definedName name="OR09_D3.2_IT系统模块功能" localSheetId="25">'[2]Database-分值计算'!$B$452:$C$453</definedName>
    <definedName name="OR09_D3.2_IT系统模块功能" localSheetId="28">'[2]Database-分值计算'!$B$452:$C$453</definedName>
    <definedName name="OR09_D3.3_IT系统统计保监会要求上报的各类再保险数据报表" localSheetId="25">'[2]Database-分值计算'!$B$454:$C$455</definedName>
    <definedName name="OR09_D3.3_IT系统统计保监会要求上报的各类再保险数据报表" localSheetId="28">'[2]Database-分值计算'!$B$454:$C$455</definedName>
    <definedName name="OR09_D3.4_再保险IT系统权限管理情况" localSheetId="25">'[2]Database-分值计算'!$B$456:$C$457</definedName>
    <definedName name="OR09_D3.4_再保险IT系统权限管理情况" localSheetId="28">'[2]Database-分值计算'!$B$456:$C$457</definedName>
    <definedName name="OR09_D3.5_再保系统记录修改痕迹功能" localSheetId="25">'[2]Database-分值计算'!$B$458:$C$459</definedName>
    <definedName name="OR09_D3.5_再保系统记录修改痕迹功能" localSheetId="28">'[2]Database-分值计算'!$B$458:$C$459</definedName>
    <definedName name="OR09_D4.1_再保险管理组织架构" localSheetId="25">'[2]Database-分值计算'!$B$460:$C$462</definedName>
    <definedName name="OR09_D4.1_再保险管理组织架构" localSheetId="28">'[2]Database-分值计算'!$B$460:$C$462</definedName>
    <definedName name="OR09_D4.2_分保安排及确认的及时性" localSheetId="25">'[2]Database-分值计算'!$B$463:$C$465</definedName>
    <definedName name="OR09_D4.2_分保安排及确认的及时性" localSheetId="28">'[2]Database-分值计算'!$B$463:$C$465</definedName>
    <definedName name="OR09_D4.3_再保系统独立性和完整性" localSheetId="25">'[2]Database-分值计算'!$B$466:$C$468</definedName>
    <definedName name="OR09_D4.3_再保系统独立性和完整性" localSheetId="28">'[2]Database-分值计算'!$B$466:$C$468</definedName>
    <definedName name="OR09_X1.1_再保险业务管理情况" localSheetId="25">'[2]Database-下拉框'!$B$114:$B$116</definedName>
    <definedName name="OR09_X1.1_再保险业务管理情况" localSheetId="28">'[2]Database-下拉框'!$B$114:$B$116</definedName>
    <definedName name="OR09_X1.2_再保险分入业务管理情况" localSheetId="25">'[2]Database-下拉框'!$B$117:$B$118</definedName>
    <definedName name="OR09_X1.2_再保险分入业务管理情况" localSheetId="28">'[2]Database-下拉框'!$B$117:$B$118</definedName>
    <definedName name="OR09_X2.2.1_再保险接受人及经纪人资信管理情况" localSheetId="25">'[2]Database-下拉框'!$B$119:$B$120</definedName>
    <definedName name="OR09_X2.2.1_再保险接受人及经纪人资信管理情况" localSheetId="28">'[2]Database-下拉框'!$B$119:$B$120</definedName>
    <definedName name="OR09_X2.2.3_再保险接受人信用风险突发应急预案管理情况" localSheetId="25">'[2]Database-下拉框'!$B$121:$B$122</definedName>
    <definedName name="OR09_X2.2.3_再保险接受人信用风险突发应急预案管理情况" localSheetId="28">'[2]Database-下拉框'!$B$121:$B$122</definedName>
    <definedName name="OR09_X2.3.2_需续保的再保合约业务完成情况" localSheetId="25">'[2]Database-下拉框'!$B$123:$B$124</definedName>
    <definedName name="OR09_X2.3.2_需续保的再保合约业务完成情况" localSheetId="28">'[2]Database-下拉框'!$B$123:$B$124</definedName>
    <definedName name="OR09_X2.5.1_再保险应收应付款项管理情况" localSheetId="25">'[2]Database-下拉框'!$B$125:$B$126</definedName>
    <definedName name="OR09_X2.5.1_再保险应收应付款项管理情况" localSheetId="28">'[2]Database-下拉框'!$B$125:$B$126</definedName>
    <definedName name="OR09_X2.6.1_每一危险单位划分是否符合相关法律法规" localSheetId="25">'[2]Database-下拉框'!$B$127:$B$128</definedName>
    <definedName name="OR09_X2.6.1_每一危险单位划分是否符合相关法律法规" localSheetId="28">'[2]Database-下拉框'!$B$127:$B$128</definedName>
    <definedName name="OR09_X2.6.2_每一危险单位自留额管理" localSheetId="25">'[2]Database-下拉框'!$B$129:$B$130</definedName>
    <definedName name="OR09_X2.6.2_每一危险单位自留额管理" localSheetId="28">'[2]Database-下拉框'!$B$129:$B$130</definedName>
    <definedName name="OR09_X3.1_再保系统与其他系统链接" localSheetId="25">'[2]Database-下拉框'!$B$131:$B$132</definedName>
    <definedName name="OR09_X3.1_再保系统与其他系统链接" localSheetId="28">'[2]Database-下拉框'!$B$131:$B$132</definedName>
    <definedName name="OR09_X3.2_IT系统模块功能" localSheetId="25">'[2]Database-下拉框'!$B$133:$B$134</definedName>
    <definedName name="OR09_X3.2_IT系统模块功能" localSheetId="28">'[2]Database-下拉框'!$B$133:$B$134</definedName>
    <definedName name="OR09_X3.3_IT系统统计再保险数据报表" localSheetId="25">'[2]Database-下拉框'!$B$135:$B$136</definedName>
    <definedName name="OR09_X3.3_IT系统统计再保险数据报表" localSheetId="28">'[2]Database-下拉框'!$B$135:$B$136</definedName>
    <definedName name="OR09_X3.4_再保险IT系统权限管理情况" localSheetId="25">'[2]Database-下拉框'!$B$137:$B$138</definedName>
    <definedName name="OR09_X3.4_再保险IT系统权限管理情况" localSheetId="28">'[2]Database-下拉框'!$B$137:$B$138</definedName>
    <definedName name="OR09_X3.5_再保系统记录修改痕迹功能" localSheetId="25">'[2]Database-下拉框'!$B$139:$B$140</definedName>
    <definedName name="OR09_X3.5_再保系统记录修改痕迹功能" localSheetId="28">'[2]Database-下拉框'!$B$139:$B$140</definedName>
    <definedName name="OR10_D1.1.1_资产管理部门负责人从业经验" localSheetId="25">'[2]Database-分值计算'!$B$534:$C$536</definedName>
    <definedName name="OR10_D1.1.1_资产管理部门负责人从业经验" localSheetId="28">'[2]Database-分值计算'!$B$534:$C$536</definedName>
    <definedName name="OR10_D1.1.2_资产管理部门负责人违法违规及处罚" localSheetId="25">'[2]Database-分值计算'!$B$537:$C$538</definedName>
    <definedName name="OR10_D1.1.2_资产管理部门负责人违法违规及处罚" localSheetId="28">'[2]Database-分值计算'!$B$537:$C$538</definedName>
    <definedName name="OR10_D1.1.3_资产管理部门人员平均从业年限" localSheetId="25">'[2]Database-分值计算'!$B$539:$C$541</definedName>
    <definedName name="OR10_D1.1.3_资产管理部门人员平均从业年限" localSheetId="28">'[2]Database-分值计算'!$B$539:$C$541</definedName>
    <definedName name="OR10_D1.2.1.1_委托投资人员岗位" localSheetId="25">'[2]Database-分值计算'!$B$542:$C$544</definedName>
    <definedName name="OR10_D1.2.1.1_委托投资人员岗位" localSheetId="28">'[2]Database-分值计算'!$B$542:$C$544</definedName>
    <definedName name="OR10_D1.2.1.2_自行投资人员岗位" localSheetId="25">'[2]Database-分值计算'!$B$545:$C$547</definedName>
    <definedName name="OR10_D1.2.1.2_自行投资人员岗位" localSheetId="28">'[2]Database-分值计算'!$B$545:$C$547</definedName>
    <definedName name="OR10_D1.2.2_人员结构" localSheetId="25">'[2]Database-分值计算'!$B$548:$C$549</definedName>
    <definedName name="OR10_D1.2.2_人员结构" localSheetId="28">'[2]Database-分值计算'!$B$548:$C$549</definedName>
    <definedName name="OR10_D1.2.3_资产管理部门人员流失率" localSheetId="25">'[2]Database-分值计算'!$B$550:$C$552</definedName>
    <definedName name="OR10_D1.2.3_资产管理部门人员流失率" localSheetId="28">'[2]Database-分值计算'!$B$550:$C$552</definedName>
    <definedName name="OR10_D1.3.2_员工培训频率" localSheetId="25">'[2]Database-分值计算'!$B$557:$C$558</definedName>
    <definedName name="OR10_D1.3.2_员工培训频率" localSheetId="28">'[2]Database-分值计算'!$B$557:$C$558</definedName>
    <definedName name="OR10_D1.4.1.1_自行投资投研人员激励机制" localSheetId="25">'[2]Database-分值计算'!$B$559:$C$561</definedName>
    <definedName name="OR10_D1.4.1.1_自行投资投研人员激励机制" localSheetId="28">'[2]Database-分值计算'!$B$559:$C$561</definedName>
    <definedName name="OR10_D1.4.1.2_委托投资投研人员激励机制" localSheetId="25">'[2]Database-分值计算'!$B$562:$C$564</definedName>
    <definedName name="OR10_D1.4.1.2_委托投资投研人员激励机制" localSheetId="28">'[2]Database-分值计算'!$B$562:$C$564</definedName>
    <definedName name="OR10_D1.4.2.1_自行投资风险管理人员激励机制" localSheetId="25">'[2]Database-分值计算'!$B$565:$C$567</definedName>
    <definedName name="OR10_D1.4.2.1_自行投资风险管理人员激励机制" localSheetId="28">'[2]Database-分值计算'!$B$565:$C$567</definedName>
    <definedName name="OR10_D1.4.2.2_委托投资风险管理人员激励机制" localSheetId="25">'[2]Database-分值计算'!$B$568:$C$570</definedName>
    <definedName name="OR10_D1.4.2.2_委托投资风险管理人员激励机制" localSheetId="28">'[2]Database-分值计算'!$B$568:$C$570</definedName>
    <definedName name="OR10_D1.4.3.1_自行投资业绩考核" localSheetId="25">'[2]Database-分值计算'!$B$571:$C$573</definedName>
    <definedName name="OR10_D1.4.3.1_自行投资业绩考核" localSheetId="28">'[2]Database-分值计算'!$B$571:$C$573</definedName>
    <definedName name="OR10_D1.4.3.2_委托投资业绩考核" localSheetId="25">'[2]Database-分值计算'!$B$574:$C$576</definedName>
    <definedName name="OR10_D1.4.3.2_委托投资业绩考核" localSheetId="28">'[2]Database-分值计算'!$B$574:$C$576</definedName>
    <definedName name="OR10_D2.1_操作风险数据库" localSheetId="25">'[2]Database-分值计算'!$B$577:$C$578</definedName>
    <definedName name="OR10_D2.1_操作风险数据库" localSheetId="28">'[2]Database-分值计算'!$B$577:$C$578</definedName>
    <definedName name="OR10_D2.2.1_委托投资管理制度" localSheetId="25">'[2]Database-分值计算'!$B$579:$C$581</definedName>
    <definedName name="OR10_D2.2.1_委托投资管理制度" localSheetId="28">'[2]Database-分值计算'!$B$579:$C$581</definedName>
    <definedName name="OR10_D2.2.2_委托投资指引" localSheetId="25">'[2]Database-分值计算'!$B$582:$C$584</definedName>
    <definedName name="OR10_D2.2.2_委托投资指引" localSheetId="28">'[2]Database-分值计算'!$B$582:$C$584</definedName>
    <definedName name="OR10_D2.2.3_定期评估" localSheetId="25">'[2]Database-分值计算'!$B$585:$C$588</definedName>
    <definedName name="OR10_D2.2.3_定期评估" localSheetId="28">'[2]Database-分值计算'!$B$585:$C$588</definedName>
    <definedName name="OR10_D2.3.1_压力测试" localSheetId="25">'[2]Database-分值计算'!$B$589:$C$590</definedName>
    <definedName name="OR10_D2.3.1_压力测试" localSheetId="28">'[2]Database-分值计算'!$B$589:$C$590</definedName>
    <definedName name="OR10_D2.3.2.1_自行投资分账户" localSheetId="25">'[2]Database-分值计算'!$B$591:$C$593</definedName>
    <definedName name="OR10_D2.3.2.1_自行投资分账户" localSheetId="28">'[2]Database-分值计算'!$B$591:$C$593</definedName>
    <definedName name="OR10_D2.3.2.2_委托投资分账户" localSheetId="25">'[2]Database-分值计算'!$B$594:$C$596</definedName>
    <definedName name="OR10_D2.3.2.2_委托投资分账户" localSheetId="28">'[2]Database-分值计算'!$B$594:$C$596</definedName>
    <definedName name="OR10_D2.4_托管" localSheetId="25">'[2]Database-分值计算'!$B$597:$C$599</definedName>
    <definedName name="OR10_D2.4_托管" localSheetId="28">'[2]Database-分值计算'!$B$597:$C$599</definedName>
    <definedName name="OR10_D2.5.1_投资授权制度" localSheetId="25">'[2]Database-分值计算'!$B$600:$C$601</definedName>
    <definedName name="OR10_D2.5.1_投资授权制度" localSheetId="28">'[2]Database-分值计算'!$B$600:$C$601</definedName>
    <definedName name="OR10_D2.5.2.1.1_自行投资决策流程信息化和自动化" localSheetId="25">'[2]Database-分值计算'!$B$602:$C$604</definedName>
    <definedName name="OR10_D2.5.2.1.1_自行投资决策流程信息化和自动化" localSheetId="28">'[2]Database-分值计算'!$B$602:$C$604</definedName>
    <definedName name="OR10_D2.5.2.1.2_委托投资决策流程信息化和自动化" localSheetId="25">'[2]Database-分值计算'!$B$605:$C$607</definedName>
    <definedName name="OR10_D2.5.2.1.2_委托投资决策流程信息化和自动化" localSheetId="28">'[2]Database-分值计算'!$B$605:$C$607</definedName>
    <definedName name="OR10_D2.5.2.2.1_自行投资决策书面记录" localSheetId="25">'[2]Database-分值计算'!$B$608:$C$610</definedName>
    <definedName name="OR10_D2.5.2.2.1_自行投资决策书面记录" localSheetId="28">'[2]Database-分值计算'!$B$608:$C$610</definedName>
    <definedName name="OR10_D2.5.2.2.2_委托投资决策书面记录" localSheetId="25">'[2]Database-分值计算'!$B$611:$C$613</definedName>
    <definedName name="OR10_D2.5.2.2.2_委托投资决策书面记录" localSheetId="28">'[2]Database-分值计算'!$B$611:$C$613</definedName>
    <definedName name="OR10_D2.5.3.1_自行投资投资池、备选池和禁投池体系" localSheetId="25">'[2]Database-分值计算'!$B$614:$C$616</definedName>
    <definedName name="OR10_D2.5.3.1_自行投资投资池、备选池和禁投池体系" localSheetId="28">'[2]Database-分值计算'!$B$614:$C$616</definedName>
    <definedName name="OR10_D2.5.3.2_委托投资投资池、备选池和禁投池体系" localSheetId="25">'[2]Database-分值计算'!$B$617:$C$619</definedName>
    <definedName name="OR10_D2.5.3.2_委托投资投资池、备选池和禁投池体系" localSheetId="28">'[2]Database-分值计算'!$B$617:$C$619</definedName>
    <definedName name="OR10_D2.5.4_投资决策操作风险" localSheetId="25">'[2]Database-分值计算'!$B$620:$C$622</definedName>
    <definedName name="OR10_D2.5.4_投资决策操作风险" localSheetId="28">'[2]Database-分值计算'!$B$620:$C$622</definedName>
    <definedName name="OR10_D2.6.1.1_自行投资集中交易" localSheetId="25">'[2]Database-分值计算'!$B$623:$C$625</definedName>
    <definedName name="OR10_D2.6.1.1_自行投资集中交易" localSheetId="28">'[2]Database-分值计算'!$B$623:$C$625</definedName>
    <definedName name="OR10_D2.6.1.2_委托投资集中交易" localSheetId="25">'[2]Database-分值计算'!$B$626:$C$628</definedName>
    <definedName name="OR10_D2.6.1.2_委托投资集中交易" localSheetId="28">'[2]Database-分值计算'!$B$626:$C$628</definedName>
    <definedName name="OR10_D2.6.2.1_自行投资交易记录" localSheetId="25">'[2]Database-分值计算'!$B$629:$C$631</definedName>
    <definedName name="OR10_D2.6.2.1_自行投资交易记录" localSheetId="28">'[2]Database-分值计算'!$B$629:$C$631</definedName>
    <definedName name="OR10_D2.6.2.2_委托投资交易记录" localSheetId="25">'[2]Database-分值计算'!$B$632:$C$634</definedName>
    <definedName name="OR10_D2.6.2.2_委托投资交易记录" localSheetId="28">'[2]Database-分值计算'!$B$632:$C$634</definedName>
    <definedName name="OR10_D2.6.3_交易行为操作风险" localSheetId="25">'[2]Database-分值计算'!$B$635:$C$637</definedName>
    <definedName name="OR10_D2.6.3_交易行为操作风险" localSheetId="28">'[2]Database-分值计算'!$B$635:$C$637</definedName>
    <definedName name="OR10_D2.7.1.1_自行投资会计估值政策与制度规范" localSheetId="25">'[2]Database-分值计算'!$B$638:$C$640</definedName>
    <definedName name="OR10_D2.7.1.1_自行投资会计估值政策与制度规范" localSheetId="28">'[2]Database-分值计算'!$B$638:$C$640</definedName>
    <definedName name="OR10_D2.7.1.2_委托投资会计估值政策与制度规范" localSheetId="25">'[2]Database-分值计算'!$B$641:$C$643</definedName>
    <definedName name="OR10_D2.7.1.2_委托投资会计估值政策与制度规范" localSheetId="28">'[2]Database-分值计算'!$B$641:$C$643</definedName>
    <definedName name="OR10_D2.7.2.1_自行投资清算和交易信息核对频率" localSheetId="25">'[2]Database-分值计算'!$B$644:$C$646</definedName>
    <definedName name="OR10_D2.7.2.1_自行投资清算和交易信息核对频率" localSheetId="28">'[2]Database-分值计算'!$B$644:$C$646</definedName>
    <definedName name="OR10_D2.7.2.2_委托投资清算和交易信息核对频率" localSheetId="25">'[2]Database-分值计算'!$B$647:$C$649</definedName>
    <definedName name="OR10_D2.7.2.2_委托投资清算和交易信息核对频率" localSheetId="28">'[2]Database-分值计算'!$B$647:$C$649</definedName>
    <definedName name="OR10_D2.7.3_估值核算操作风险事件" localSheetId="25">'[2]Database-分值计算'!$B$650:$C$652</definedName>
    <definedName name="OR10_D2.7.3_估值核算操作风险事件" localSheetId="28">'[2]Database-分值计算'!$B$650:$C$652</definedName>
    <definedName name="OR10_D2.8_信息披露风险事件" localSheetId="25">'[2]Database-分值计算'!$B$653:$C$655</definedName>
    <definedName name="OR10_D2.8_信息披露风险事件" localSheetId="28">'[2]Database-分值计算'!$B$653:$C$655</definedName>
    <definedName name="OR10_D3.1.1.1_自行投资系统自动化" localSheetId="25">'[2]Database-分值计算'!$B$656:$C$659</definedName>
    <definedName name="OR10_D3.1.1.1_自行投资系统自动化" localSheetId="28">'[2]Database-分值计算'!$B$656:$C$659</definedName>
    <definedName name="OR10_D3.1.1.2_委托投资系统自动化" localSheetId="25">'[2]Database-分值计算'!$B$660:$C$662</definedName>
    <definedName name="OR10_D3.1.1.2_委托投资系统自动化" localSheetId="28">'[2]Database-分值计算'!$B$660:$C$662</definedName>
    <definedName name="OR10_D3.1.2_系统设计差错量" localSheetId="25">'[2]Database-分值计算'!$B$663:$C$664</definedName>
    <definedName name="OR10_D3.1.2_系统设计差错量" localSheetId="28">'[2]Database-分值计算'!$B$663:$C$664</definedName>
    <definedName name="OR10_D3.2.1_系统中断次数" localSheetId="25">'[2]Database-分值计算'!$B$665:$C$666</definedName>
    <definedName name="OR10_D3.2.1_系统中断次数" localSheetId="28">'[2]Database-分值计算'!$B$665:$C$666</definedName>
    <definedName name="OR10_D3.2.2_系统异常事件数量" localSheetId="25">'[2]Database-分值计算'!$B$667:$C$668</definedName>
    <definedName name="OR10_D3.2.2_系统异常事件数量" localSheetId="28">'[2]Database-分值计算'!$B$667:$C$668</definedName>
    <definedName name="OR10_D3.3_信息安全事件数量" localSheetId="25">'[2]Database-分值计算'!$B$669:$C$671</definedName>
    <definedName name="OR10_D3.3_信息安全事件数量" localSheetId="28">'[2]Database-分值计算'!$B$669:$C$671</definedName>
    <definedName name="OR10_D3.4_数据差错量" localSheetId="25">'[2]Database-分值计算'!$B$672:$C$673</definedName>
    <definedName name="OR10_D3.4_数据差错量" localSheetId="28">'[2]Database-分值计算'!$B$672:$C$673</definedName>
    <definedName name="OR10_D4.1_对新政策的参与和反应速度" localSheetId="25">'[2]Database-分值计算'!$B$674:$C$675</definedName>
    <definedName name="OR10_D4.1_对新政策的参与和反应速度" localSheetId="28">'[2]Database-分值计算'!$B$674:$C$675</definedName>
    <definedName name="OR10_D4.2_新政策培训" localSheetId="25">'[2]Database-分值计算'!$B$676:$C$677</definedName>
    <definedName name="OR10_D4.2_新政策培训" localSheetId="28">'[2]Database-分值计算'!$B$676:$C$677</definedName>
    <definedName name="OR10_D6.1_投资决策操作风险事件" localSheetId="25">'[2]Database-分值计算'!$B$678:$C$680</definedName>
    <definedName name="OR10_D6.1_投资决策操作风险事件" localSheetId="28">'[2]Database-分值计算'!$B$678:$C$680</definedName>
    <definedName name="OR10_D6.2_交易行为操作风险事件" localSheetId="25">'[2]Database-分值计算'!$B$681:$C$683</definedName>
    <definedName name="OR10_D6.2_交易行为操作风险事件" localSheetId="28">'[2]Database-分值计算'!$B$681:$C$683</definedName>
    <definedName name="OR10_D6.3_估值核算操作风险事件" localSheetId="25">'[2]Database-分值计算'!$B$684:$C$686</definedName>
    <definedName name="OR10_D6.3_估值核算操作风险事件" localSheetId="28">'[2]Database-分值计算'!$B$684:$C$686</definedName>
    <definedName name="OR10_D6.4_信息披露操作风险事件" localSheetId="25">'[2]Database-分值计算'!$B$687:$C$689</definedName>
    <definedName name="OR10_D6.4_信息披露操作风险事件" localSheetId="28">'[2]Database-分值计算'!$B$687:$C$689</definedName>
    <definedName name="OR10_X1.1.2_资产管理部门负责人违法违规及处罚" localSheetId="25">'[2]Database-下拉框'!$B$164:$B$165</definedName>
    <definedName name="OR10_X1.1.2_资产管理部门负责人违法违规及处罚" localSheetId="28">'[2]Database-下拉框'!$B$164:$B$165</definedName>
    <definedName name="OR10_X1.2.1.1_委托投资人员岗位" localSheetId="25">'[2]Database-下拉框'!$B$166:$B$168</definedName>
    <definedName name="OR10_X1.2.1.1_委托投资人员岗位" localSheetId="28">'[2]Database-下拉框'!$B$166:$B$168</definedName>
    <definedName name="OR10_X1.2.1.2_自行投资人员岗位" localSheetId="25">'[2]Database-下拉框'!$B$169:$B$171</definedName>
    <definedName name="OR10_X1.2.1.2_自行投资人员岗位" localSheetId="28">'[2]Database-下拉框'!$B$169:$B$171</definedName>
    <definedName name="OR10_X1.4.1.1_自行投资投研人员激励机制" localSheetId="25">'[2]Database-下拉框'!$B$172:$B$174</definedName>
    <definedName name="OR10_X1.4.1.1_自行投资投研人员激励机制" localSheetId="28">'[2]Database-下拉框'!$B$172:$B$174</definedName>
    <definedName name="OR10_X1.4.1.2_委托投资投研人员激励机制" localSheetId="25">'[2]Database-下拉框'!$B$175:$B$177</definedName>
    <definedName name="OR10_X1.4.1.2_委托投资投研人员激励机制" localSheetId="28">'[2]Database-下拉框'!$B$175:$B$177</definedName>
    <definedName name="OR10_X1.4.2.1_自行投资风险管理人员激励机制" localSheetId="25">'[2]Database-下拉框'!$B$178:$B$180</definedName>
    <definedName name="OR10_X1.4.2.1_自行投资风险管理人员激励机制" localSheetId="28">'[2]Database-下拉框'!$B$178:$B$180</definedName>
    <definedName name="OR10_X1.4.2.2_委托投资风险管理人员激励机制" localSheetId="25">'[2]Database-下拉框'!$B$181:$B$183</definedName>
    <definedName name="OR10_X1.4.2.2_委托投资风险管理人员激励机制" localSheetId="28">'[2]Database-下拉框'!$B$181:$B$183</definedName>
    <definedName name="OR10_X1.4.3.1_自行投资业绩考核" localSheetId="25">'[2]Database-下拉框'!$B$184:$B$186</definedName>
    <definedName name="OR10_X1.4.3.1_自行投资业绩考核" localSheetId="28">'[2]Database-下拉框'!$B$184:$B$186</definedName>
    <definedName name="OR10_X1.4.3.2_委托投资业绩考核" localSheetId="25">'[2]Database-下拉框'!$B$187:$B$189</definedName>
    <definedName name="OR10_X1.4.3.2_委托投资业绩考核" localSheetId="28">'[2]Database-下拉框'!$B$187:$B$189</definedName>
    <definedName name="OR10_X2.1_操作风险数据库" localSheetId="25">'[2]Database-下拉框'!$B$190:$B$191</definedName>
    <definedName name="OR10_X2.1_操作风险数据库" localSheetId="28">'[2]Database-下拉框'!$B$190:$B$191</definedName>
    <definedName name="OR10_X2.2.1_委托投资管理制度" localSheetId="25">'[2]Database-下拉框'!$B$192:$B$194</definedName>
    <definedName name="OR10_X2.2.1_委托投资管理制度" localSheetId="28">'[2]Database-下拉框'!$B$192:$B$194</definedName>
    <definedName name="OR10_X2.2.2_委托投资指引" localSheetId="25">'[2]Database-下拉框'!$B$195:$B$197</definedName>
    <definedName name="OR10_X2.2.2_委托投资指引" localSheetId="28">'[2]Database-下拉框'!$B$195:$B$197</definedName>
    <definedName name="OR10_X2.2.3_定期评估" localSheetId="25">'[2]Database-下拉框'!$B$198:$B$201</definedName>
    <definedName name="OR10_X2.2.3_定期评估" localSheetId="28">'[2]Database-下拉框'!$B$198:$B$201</definedName>
    <definedName name="OR10_X2.3.1_压力测试" localSheetId="25">'[2]Database-下拉框'!$B$202:$B$203</definedName>
    <definedName name="OR10_X2.3.1_压力测试" localSheetId="28">'[2]Database-下拉框'!$B$202:$B$203</definedName>
    <definedName name="OR10_X2.3.2.1_自行投资分账户" localSheetId="25">'[2]Database-下拉框'!$B$204:$B$206</definedName>
    <definedName name="OR10_X2.3.2.1_自行投资分账户" localSheetId="28">'[2]Database-下拉框'!$B$204:$B$206</definedName>
    <definedName name="OR10_X2.3.2.2_委托投资分账户" localSheetId="25">'[2]Database-下拉框'!$B$207:$B$209</definedName>
    <definedName name="OR10_X2.3.2.2_委托投资分账户" localSheetId="28">'[2]Database-下拉框'!$B$207:$B$209</definedName>
    <definedName name="OR10_X2.4_托管" localSheetId="25">'[2]Database-下拉框'!$B$210:$B$212</definedName>
    <definedName name="OR10_X2.4_托管" localSheetId="28">'[2]Database-下拉框'!$B$210:$B$212</definedName>
    <definedName name="OR10_X2.5.1_投资授权制度" localSheetId="25">'[2]Database-下拉框'!$B$213:$B$214</definedName>
    <definedName name="OR10_X2.5.1_投资授权制度" localSheetId="28">'[2]Database-下拉框'!$B$213:$B$214</definedName>
    <definedName name="OR10_X2.5.2.1.1_自行投资决策流程信息化和自动化" localSheetId="25">'[2]Database-下拉框'!$B$215:$B$217</definedName>
    <definedName name="OR10_X2.5.2.1.1_自行投资决策流程信息化和自动化" localSheetId="28">'[2]Database-下拉框'!$B$215:$B$217</definedName>
    <definedName name="OR10_X2.5.2.1.2_委托投资决策流程信息化和自动化" localSheetId="25">'[2]Database-下拉框'!$B$218:$B$220</definedName>
    <definedName name="OR10_X2.5.2.1.2_委托投资决策流程信息化和自动化" localSheetId="28">'[2]Database-下拉框'!$B$218:$B$220</definedName>
    <definedName name="OR10_X2.5.2.2.1_自行投资决策书面记录" localSheetId="25">'[2]Database-下拉框'!$B$221:$B$223</definedName>
    <definedName name="OR10_X2.5.2.2.1_自行投资决策书面记录" localSheetId="28">'[2]Database-下拉框'!$B$221:$B$223</definedName>
    <definedName name="OR10_X2.5.2.2.2_委托投资决策书面记录" localSheetId="25">'[2]Database-下拉框'!$B$224:$B$226</definedName>
    <definedName name="OR10_X2.5.2.2.2_委托投资决策书面记录" localSheetId="28">'[2]Database-下拉框'!$B$224:$B$226</definedName>
    <definedName name="OR10_X2.5.3.1_自行投资投资池、备选池和禁投池体系" localSheetId="25">'[2]Database-下拉框'!$B$227:$B$229</definedName>
    <definedName name="OR10_X2.5.3.1_自行投资投资池、备选池和禁投池体系" localSheetId="28">'[2]Database-下拉框'!$B$227:$B$229</definedName>
    <definedName name="OR10_X2.5.3.2_委托投资投资池、备选池和禁投池体系" localSheetId="25">'[2]Database-下拉框'!$B$230:$B$232</definedName>
    <definedName name="OR10_X2.5.3.2_委托投资投资池、备选池和禁投池体系" localSheetId="28">'[2]Database-下拉框'!$B$230:$B$232</definedName>
    <definedName name="OR10_X2.6.1.1_自行投资集中交易" localSheetId="25">'[2]Database-下拉框'!$B$233:$B$235</definedName>
    <definedName name="OR10_X2.6.1.1_自行投资集中交易" localSheetId="28">'[2]Database-下拉框'!$B$233:$B$235</definedName>
    <definedName name="OR10_X2.6.1.2_委托投资集中交易" localSheetId="25">'[2]Database-下拉框'!$B$236:$B$238</definedName>
    <definedName name="OR10_X2.6.1.2_委托投资集中交易" localSheetId="28">'[2]Database-下拉框'!$B$236:$B$238</definedName>
    <definedName name="OR10_X2.6.2.1_自行投资交易记录" localSheetId="25">'[2]Database-下拉框'!$B$239:$B$241</definedName>
    <definedName name="OR10_X2.6.2.1_自行投资交易记录" localSheetId="28">'[2]Database-下拉框'!$B$239:$B$241</definedName>
    <definedName name="OR10_X2.6.2.2_委托投资交易记录" localSheetId="25">'[2]Database-下拉框'!$B$242:$B$244</definedName>
    <definedName name="OR10_X2.6.2.2_委托投资交易记录" localSheetId="28">'[2]Database-下拉框'!$B$242:$B$244</definedName>
    <definedName name="OR10_X2.7.1.1_自行投资会计估值政策与制度规范" localSheetId="25">'[2]Database-下拉框'!$B$245:$B$247</definedName>
    <definedName name="OR10_X2.7.1.1_自行投资会计估值政策与制度规范" localSheetId="28">'[2]Database-下拉框'!$B$245:$B$247</definedName>
    <definedName name="OR10_X2.7.1.2_委托投资会计估值政策与制度规范" localSheetId="25">'[2]Database-下拉框'!$B$248:$B$250</definedName>
    <definedName name="OR10_X2.7.1.2_委托投资会计估值政策与制度规范" localSheetId="28">'[2]Database-下拉框'!$B$248:$B$250</definedName>
    <definedName name="OR10_X2.7.2.1_自行投资清算和交易信息核对频率" localSheetId="25">'[2]Database-下拉框'!$B$251:$B$253</definedName>
    <definedName name="OR10_X2.7.2.1_自行投资清算和交易信息核对频率" localSheetId="28">'[2]Database-下拉框'!$B$251:$B$253</definedName>
    <definedName name="OR10_X2.7.2.2_委托投资清算和交易信息核对频率" localSheetId="25">'[2]Database-下拉框'!$B$254:$B$256</definedName>
    <definedName name="OR10_X2.7.2.2_委托投资清算和交易信息核对频率" localSheetId="28">'[2]Database-下拉框'!$B$254:$B$256</definedName>
    <definedName name="OR10_X3.1.1.1_自行投资系统自动化" localSheetId="25">'[2]Database-下拉框'!$B$257:$B$260</definedName>
    <definedName name="OR10_X3.1.1.1_自行投资系统自动化" localSheetId="28">'[2]Database-下拉框'!$B$257:$B$260</definedName>
    <definedName name="OR10_X3.1.1.2_委托投资系统自动化" localSheetId="25">'[2]Database-下拉框'!$B$261:$B$263</definedName>
    <definedName name="OR10_X3.1.1.2_委托投资系统自动化" localSheetId="28">'[2]Database-下拉框'!$B$261:$B$263</definedName>
    <definedName name="OR10_X4.1_对新政策的参与和反应速度" localSheetId="25">'[2]Database-下拉框'!$B$264:$B$265</definedName>
    <definedName name="OR10_X4.1_对新政策的参与和反应速度" localSheetId="28">'[2]Database-下拉框'!$B$264:$B$265</definedName>
    <definedName name="OR10_X4.2_新政策培训" localSheetId="25">'[2]Database-下拉框'!$B$266:$B$267</definedName>
    <definedName name="OR10_X4.2_新政策培训" localSheetId="28">'[2]Database-下拉框'!$B$266:$B$267</definedName>
    <definedName name="OR12_D1.1_财会部门主要负责人专业性" localSheetId="25">'[2]Database-分值计算'!$B$690:$C$692</definedName>
    <definedName name="OR12_D1.1_财会部门主要负责人专业性" localSheetId="28">'[2]Database-分值计算'!$B$690:$C$692</definedName>
    <definedName name="OR12_D1.2.1.1_财会部门人数_否_I类公司" localSheetId="25">'[2]Database-分值计算'!$B$699:$C$700</definedName>
    <definedName name="OR12_D1.2.1.1_财会部门人数_否_I类公司" localSheetId="28">'[2]Database-分值计算'!$B$699:$C$700</definedName>
    <definedName name="OR12_D1.2.1.1_财会部门人数_是_II类公司" localSheetId="25">'[2]Database-分值计算'!$B$701:$C$702</definedName>
    <definedName name="OR12_D1.2.1.1_财会部门人数_是_II类公司" localSheetId="28">'[2]Database-分值计算'!$B$701:$C$702</definedName>
    <definedName name="OR12_D1.2.1.1_财会部门人数_是_I类公司" localSheetId="25">'[2]Database-分值计算'!$B$697:$C$698</definedName>
    <definedName name="OR12_D1.2.1.1_财会部门人数_是_I类公司" localSheetId="28">'[2]Database-分值计算'!$B$697:$C$698</definedName>
    <definedName name="OR12_D1.2.1.1_财务处理情况" localSheetId="25">'[2]Database-分值计算'!$B$693:$C$696</definedName>
    <definedName name="OR12_D1.2.1.1_财务处理情况" localSheetId="28">'[2]Database-分值计算'!$B$693:$C$696</definedName>
    <definedName name="OR12_D1.2.2_财会部门人员流失率" localSheetId="25">'[2]Database-分值计算'!$B$705:$C$706</definedName>
    <definedName name="OR12_D1.2.2_财会部门人员流失率" localSheetId="28">'[2]Database-分值计算'!$B$705:$C$706</definedName>
    <definedName name="OR12_D1.3_员工培训率" localSheetId="25">'[2]Database-分值计算'!$B$707:$C$708</definedName>
    <definedName name="OR12_D1.3_员工培训率" localSheetId="28">'[2]Database-分值计算'!$B$707:$C$708</definedName>
    <definedName name="OR12_D1.4_业绩考核" localSheetId="25">'[2]Database-分值计算'!$B$709:$C$710</definedName>
    <definedName name="OR12_D1.4_业绩考核" localSheetId="28">'[2]Database-分值计算'!$B$709:$C$710</definedName>
    <definedName name="OR12_D2.1_操作风险数据库" localSheetId="25">'[2]Database-分值计算'!$B$711:$C$712</definedName>
    <definedName name="OR12_D2.1_操作风险数据库" localSheetId="28">'[2]Database-分值计算'!$B$711:$C$712</definedName>
    <definedName name="OR12_D2.2.1_核算集中度" localSheetId="25">'[2]Database-分值计算'!$B$713:$C$714</definedName>
    <definedName name="OR12_D2.2.1_核算集中度" localSheetId="28">'[2]Database-分值计算'!$B$713:$C$714</definedName>
    <definedName name="OR12_D2.2.2_会计差错量" localSheetId="25">'[2]Database-分值计算'!$B$715:$C$716</definedName>
    <definedName name="OR12_D2.2.2_会计差错量" localSheetId="28">'[2]Database-分值计算'!$B$715:$C$716</definedName>
    <definedName name="OR12_D2.2.3_委托投资资产数据核对" localSheetId="25">'[2]Database-分值计算'!$B$717:$C$718</definedName>
    <definedName name="OR12_D2.2.3_委托投资资产数据核对" localSheetId="28">'[2]Database-分值计算'!$B$717:$C$718</definedName>
    <definedName name="OR12_D2.3.1_偿付能力报告差错量" localSheetId="25">'[2]Database-分值计算'!$B$719:$C$721</definedName>
    <definedName name="OR12_D2.3.1_偿付能力报告差错量" localSheetId="28">'[2]Database-分值计算'!$B$719:$C$721</definedName>
    <definedName name="OR12_D2.3.2_偿付能力报告出现重大错报或漏报" localSheetId="25">'[2]Database-分值计算'!$B$722:$C$723</definedName>
    <definedName name="OR12_D2.3.2_偿付能力报告出现重大错报或漏报" localSheetId="28">'[2]Database-分值计算'!$B$722:$C$723</definedName>
    <definedName name="OR12_D2.4.1_财务报告差错量" localSheetId="25">'[2]Database-分值计算'!$B$724:$C$726</definedName>
    <definedName name="OR12_D2.4.1_财务报告差错量" localSheetId="28">'[2]Database-分值计算'!$B$724:$C$726</definedName>
    <definedName name="OR12_D2.4.2_财务报告出现重大错报或漏报" localSheetId="25">'[2]Database-分值计算'!$B$727:$C$728</definedName>
    <definedName name="OR12_D2.4.2_财务报告出现重大错报或漏报" localSheetId="28">'[2]Database-分值计算'!$B$727:$C$728</definedName>
    <definedName name="OR12_D2.5.1_收支两条线" localSheetId="25">'[2]Database-分值计算'!$B$729:$C$730</definedName>
    <definedName name="OR12_D2.5.1_收支两条线" localSheetId="28">'[2]Database-分值计算'!$B$729:$C$730</definedName>
    <definedName name="OR12_D2.5.2_银行账户集中管理" localSheetId="25">'[2]Database-分值计算'!$B$731:$C$732</definedName>
    <definedName name="OR12_D2.5.2_银行账户集中管理" localSheetId="28">'[2]Database-分值计算'!$B$731:$C$732</definedName>
    <definedName name="OR12_D2.5.3_资金管理操作风险事件" localSheetId="25">'[2]Database-分值计算'!$B$733:$C$735</definedName>
    <definedName name="OR12_D2.5.3_资金管理操作风险事件" localSheetId="28">'[2]Database-分值计算'!$B$733:$C$735</definedName>
    <definedName name="OR12_D2.6.1_单证管理" localSheetId="25">'[2]Database-分值计算'!$B$736:$C$737</definedName>
    <definedName name="OR12_D2.6.1_单证管理" localSheetId="28">'[2]Database-分值计算'!$B$736:$C$737</definedName>
    <definedName name="OR12_D2.6.2_空白单证缺失率" localSheetId="25">'[2]Database-分值计算'!$B$738:$C$739</definedName>
    <definedName name="OR12_D2.6.2_空白单证缺失率" localSheetId="28">'[2]Database-分值计算'!$B$738:$C$739</definedName>
    <definedName name="OR12_D2.7.1_印章管理" localSheetId="25">'[2]Database-分值计算'!$B$740:$C$741</definedName>
    <definedName name="OR12_D2.7.1_印章管理" localSheetId="28">'[2]Database-分值计算'!$B$740:$C$741</definedName>
    <definedName name="OR12_D2.7.2_印章管理操作风险事件" localSheetId="25">'[2]Database-分值计算'!$B$742:$C$744</definedName>
    <definedName name="OR12_D2.7.2_印章管理操作风险事件" localSheetId="28">'[2]Database-分值计算'!$B$742:$C$744</definedName>
    <definedName name="OR12_D2.8.1_税收管理" localSheetId="25">'[2]Database-分值计算'!$B$745:$C$746</definedName>
    <definedName name="OR12_D2.8.1_税收管理" localSheetId="28">'[2]Database-分值计算'!$B$745:$C$746</definedName>
    <definedName name="OR12_D2.8.1_税收管理_II类公司" localSheetId="25">'[2]Database-分值计算'!$B$750:$C$752</definedName>
    <definedName name="OR12_D2.8.1_税收管理_II类公司" localSheetId="28">'[2]Database-分值计算'!$B$750:$C$752</definedName>
    <definedName name="OR12_D2.8.1_税收管理_I类公司" localSheetId="25">'[2]Database-分值计算'!$B$747:$C$749</definedName>
    <definedName name="OR12_D2.8.1_税收管理_I类公司" localSheetId="28">'[2]Database-分值计算'!$B$747:$C$749</definedName>
    <definedName name="OR12_D2.8.2_税收操作风险事件" localSheetId="25">'[2]Database-分值计算'!$B$753:$C$755</definedName>
    <definedName name="OR12_D2.8.2_税收操作风险事件" localSheetId="28">'[2]Database-分值计算'!$B$753:$C$755</definedName>
    <definedName name="OR12_D3.1_系统自动化" localSheetId="25">'[2]Database-分值计算'!$B$756:$C$757</definedName>
    <definedName name="OR12_D3.1_系统自动化" localSheetId="28">'[2]Database-分值计算'!$B$756:$C$757</definedName>
    <definedName name="OR12_D3.2_系统异常事件数量" localSheetId="25">'[2]Database-分值计算'!$B$758:$C$760</definedName>
    <definedName name="OR12_D3.2_系统异常事件数量" localSheetId="28">'[2]Database-分值计算'!$B$758:$C$760</definedName>
    <definedName name="OR12_D3.3_系统管理集中度" localSheetId="25">'[2]Database-分值计算'!$B$761:$C$762</definedName>
    <definedName name="OR12_D3.3_系统管理集中度" localSheetId="28">'[2]Database-分值计算'!$B$761:$C$762</definedName>
    <definedName name="OR12_D3.4.1_数据核对频率" localSheetId="25">'[2]Database-分值计算'!$B$763:$C$765</definedName>
    <definedName name="OR12_D3.4.1_数据核对频率" localSheetId="28">'[2]Database-分值计算'!$B$763:$C$765</definedName>
    <definedName name="OR12_D3.4.2_数据差错率" localSheetId="25">'[2]Database-分值计算'!$B$766:$C$767</definedName>
    <definedName name="OR12_D3.4.2_数据差错率" localSheetId="28">'[2]Database-分值计算'!$B$766:$C$767</definedName>
    <definedName name="OR12_D4.1_对新政策的参与和反应" localSheetId="25">'[2]Database-分值计算'!$B$768:$C$769</definedName>
    <definedName name="OR12_D4.1_对新政策的参与和反应" localSheetId="28">'[2]Database-分值计算'!$B$768:$C$769</definedName>
    <definedName name="OR12_D4.2_新政策培训" localSheetId="25">'[2]Database-分值计算'!$B$770:$C$771</definedName>
    <definedName name="OR12_D4.2_新政策培训" localSheetId="28">'[2]Database-分值计算'!$B$770:$C$771</definedName>
    <definedName name="OR12_X1.1_财会部门主要负责人专业性" localSheetId="25">'[2]Database-下拉框'!$B$268:$B$270</definedName>
    <definedName name="OR12_X1.1_财会部门主要负责人专业性" localSheetId="28">'[2]Database-下拉框'!$B$268:$B$270</definedName>
    <definedName name="OR12_X1.4_业绩考核" localSheetId="25">'[2]Database-下拉框'!$B$271:$B$272</definedName>
    <definedName name="OR12_X1.4_业绩考核" localSheetId="28">'[2]Database-下拉框'!$B$271:$B$272</definedName>
    <definedName name="OR12_X2.1_操作风险数据库" localSheetId="25">'[2]Database-下拉框'!$B$273:$B$274</definedName>
    <definedName name="OR12_X2.1_操作风险数据库" localSheetId="28">'[2]Database-下拉框'!$B$273:$B$274</definedName>
    <definedName name="OR12_X2.2.1_核算集中度" localSheetId="25">'[2]Database-下拉框'!$B$275:$B$276</definedName>
    <definedName name="OR12_X2.2.1_核算集中度" localSheetId="28">'[2]Database-下拉框'!$B$275:$B$276</definedName>
    <definedName name="OR12_X2.2.3_委托投资资产数据核对" localSheetId="25">'[2]Database-下拉框'!$B$277:$B$278</definedName>
    <definedName name="OR12_X2.2.3_委托投资资产数据核对" localSheetId="28">'[2]Database-下拉框'!$B$277:$B$278</definedName>
    <definedName name="OR12_X2.5.1_收支两条线" localSheetId="25">'[2]Database-下拉框'!$B$279:$B$280</definedName>
    <definedName name="OR12_X2.5.1_收支两条线" localSheetId="28">'[2]Database-下拉框'!$B$279:$B$280</definedName>
    <definedName name="OR12_X2.5.2_银行账户集中管理" localSheetId="25">'[2]Database-下拉框'!$B$281:$B$282</definedName>
    <definedName name="OR12_X2.5.2_银行账户集中管理" localSheetId="28">'[2]Database-下拉框'!$B$281:$B$282</definedName>
    <definedName name="OR12_X2.6.1_单证管理" localSheetId="25">'[2]Database-下拉框'!$B$283:$B$284</definedName>
    <definedName name="OR12_X2.6.1_单证管理" localSheetId="28">'[2]Database-下拉框'!$B$283:$B$284</definedName>
    <definedName name="OR12_X2.7.1_印章管理" localSheetId="25">'[2]Database-下拉框'!$B$285:$B$286</definedName>
    <definedName name="OR12_X2.7.1_印章管理" localSheetId="28">'[2]Database-下拉框'!$B$285:$B$286</definedName>
    <definedName name="OR12_X2.8.1_税收管理" localSheetId="25">'[2]Database-下拉框'!$B$287:$B$289</definedName>
    <definedName name="OR12_X2.8.1_税收管理" localSheetId="28">'[2]Database-下拉框'!$B$287:$B$289</definedName>
    <definedName name="OR12_X3.1_系统自动化" localSheetId="25">'[2]Database-下拉框'!$B$290:$B$291</definedName>
    <definedName name="OR12_X3.1_系统自动化" localSheetId="28">'[2]Database-下拉框'!$B$290:$B$291</definedName>
    <definedName name="OR12_X3.3_系统管理集中度" localSheetId="25">'[2]Database-下拉框'!$B$292:$B$293</definedName>
    <definedName name="OR12_X3.3_系统管理集中度" localSheetId="28">'[2]Database-下拉框'!$B$292:$B$293</definedName>
    <definedName name="OR12_X3.4.1_数据核对频率" localSheetId="25">'[2]Database-下拉框'!$B$294:$B$296</definedName>
    <definedName name="OR12_X3.4.1_数据核对频率" localSheetId="28">'[2]Database-下拉框'!$B$294:$B$296</definedName>
    <definedName name="OR12_X4.1_对新政策的参与和反应" localSheetId="25">'[2]Database-下拉框'!$B$297:$B$298</definedName>
    <definedName name="OR12_X4.1_对新政策的参与和反应" localSheetId="28">'[2]Database-下拉框'!$B$297:$B$298</definedName>
    <definedName name="OR12_X4.2_新政策培训" localSheetId="25">'[2]Database-下拉框'!$B$299:$B$300</definedName>
    <definedName name="OR12_X4.2_新政策培训" localSheetId="28">'[2]Database-下拉框'!$B$299:$B$300</definedName>
    <definedName name="OR13_D1.1_领导能力" localSheetId="25">'[2]Database-分值计算'!$B$772:$C$773</definedName>
    <definedName name="OR13_D1.1_领导能力" localSheetId="28">'[2]Database-分值计算'!$B$772:$C$773</definedName>
    <definedName name="OR13_D1.2.1_财会人员流失率" localSheetId="25">'[2]Database-分值计算'!$B$774:$C$775</definedName>
    <definedName name="OR13_D1.2.1_财会人员流失率" localSheetId="28">'[2]Database-分值计算'!$B$774:$C$775</definedName>
    <definedName name="OR13_D1.2.2_会计证持证率" localSheetId="25">'[2]Database-分值计算'!$B$776:$C$777</definedName>
    <definedName name="OR13_D1.2.2_会计证持证率" localSheetId="28">'[2]Database-分值计算'!$B$776:$C$777</definedName>
    <definedName name="OR13_D1.3_员工培训人次" localSheetId="25">'[2]Database-分值计算'!$B$778:$C$779</definedName>
    <definedName name="OR13_D1.3_员工培训人次" localSheetId="28">'[2]Database-分值计算'!$B$778:$C$779</definedName>
    <definedName name="OR13_D1.4.1_管理方式" localSheetId="25">'[2]Database-分值计算'!$B$780:$C$781</definedName>
    <definedName name="OR13_D1.4.1_管理方式" localSheetId="28">'[2]Database-分值计算'!$B$780:$C$781</definedName>
    <definedName name="OR13_D1.4.2_业绩考核" localSheetId="25">'[2]Database-分值计算'!$B$782:$C$783</definedName>
    <definedName name="OR13_D1.4.2_业绩考核" localSheetId="28">'[2]Database-分值计算'!$B$782:$C$783</definedName>
    <definedName name="OR13_D2.1.1.1_财务报告差错量" localSheetId="25">'[2]Database-分值计算'!$B$784:$C$786</definedName>
    <definedName name="OR13_D2.1.1.1_财务报告差错量" localSheetId="28">'[2]Database-分值计算'!$B$784:$C$786</definedName>
    <definedName name="OR13_D2.1.1.2_财务报告出现重大错报或漏报" localSheetId="25">'[2]Database-分值计算'!$B$787:$C$788</definedName>
    <definedName name="OR13_D2.1.1.2_财务报告出现重大错报或漏报" localSheetId="28">'[2]Database-分值计算'!$B$787:$C$788</definedName>
    <definedName name="OR13_D2.2.1_银行账户集中管理" localSheetId="25">'[2]Database-分值计算'!$B$789:$C$790</definedName>
    <definedName name="OR13_D2.2.1_银行账户集中管理" localSheetId="28">'[2]Database-分值计算'!$B$789:$C$790</definedName>
    <definedName name="OR13_D2.2.2_非现金收款比率" localSheetId="25">'[2]Database-分值计算'!$B$791:$C$793</definedName>
    <definedName name="OR13_D2.2.2_非现金收款比率" localSheetId="28">'[2]Database-分值计算'!$B$791:$C$793</definedName>
    <definedName name="OR13_D2.2.3_非现金付款比率" localSheetId="25">'[2]Database-分值计算'!$B$794:$C$796</definedName>
    <definedName name="OR13_D2.2.3_非现金付款比率" localSheetId="28">'[2]Database-分值计算'!$B$794:$C$796</definedName>
    <definedName name="OR13_D2.2.4_非寿险业务非正常应收保费比例" localSheetId="25">'[2]Database-分值计算'!$B$797:$C$799</definedName>
    <definedName name="OR13_D2.2.4_非寿险业务非正常应收保费比例" localSheetId="28">'[2]Database-分值计算'!$B$797:$C$799</definedName>
    <definedName name="OR13_D2.3.1_费用预算执行情况" localSheetId="25">'[2]Database-分值计算'!$B$800:$C$801</definedName>
    <definedName name="OR13_D2.3.1_费用预算执行情况" localSheetId="28">'[2]Database-分值计算'!$B$800:$C$801</definedName>
    <definedName name="OR13_D2.4.2_单证回销率" localSheetId="25">'[2]Database-分值计算'!$B$804:$C$806</definedName>
    <definedName name="OR13_D2.4.2_单证回销率" localSheetId="28">'[2]Database-分值计算'!$B$804:$C$806</definedName>
    <definedName name="OR13_D2.5_税收操作风险事件" localSheetId="25">'[2]Database-分值计算'!$B$807:$C$809</definedName>
    <definedName name="OR13_D2.5_税收操作风险事件" localSheetId="28">'[2]Database-分值计算'!$B$807:$C$809</definedName>
    <definedName name="OR13_D3.2_系统对接" localSheetId="25">'[2]Database-分值计算'!$B$810:$C$811</definedName>
    <definedName name="OR13_D3.2_系统对接" localSheetId="28">'[2]Database-分值计算'!$B$810:$C$811</definedName>
    <definedName name="OR13_D5_亿元保费财务操作风险事件数" localSheetId="25">'[2]Database-分值计算'!$B$812:$C$815</definedName>
    <definedName name="OR13_D5_亿元保费财务操作风险事件数" localSheetId="28">'[2]Database-分值计算'!$B$812:$C$815</definedName>
    <definedName name="OR13_X1.4.1_管理方式" localSheetId="25">'[2]Database-下拉框'!$B$301:$B$302</definedName>
    <definedName name="OR13_X1.4.1_管理方式" localSheetId="28">'[2]Database-下拉框'!$B$301:$B$302</definedName>
    <definedName name="OR13_X1.4.2_业绩考核" localSheetId="25">'[2]Database-下拉框'!$B$303:$B$304</definedName>
    <definedName name="OR13_X1.4.2_业绩考核" localSheetId="28">'[2]Database-下拉框'!$B$303:$B$304</definedName>
    <definedName name="OR13_X2.2.1_银行账户管理集中度" localSheetId="25">'[2]Database-下拉框'!$B$305:$B$306</definedName>
    <definedName name="OR13_X2.2.1_银行账户管理集中度" localSheetId="28">'[2]Database-下拉框'!$B$305:$B$306</definedName>
    <definedName name="OR13_X2.3.1_费用预算执行情况" localSheetId="25">'[2]Database-下拉框'!$B$307:$B$308</definedName>
    <definedName name="OR13_X2.3.1_费用预算执行情况" localSheetId="28">'[2]Database-下拉框'!$B$307:$B$308</definedName>
    <definedName name="OR13_X3.2_系统对接" localSheetId="25">'[2]Database-下拉框'!$B$309:$B$310</definedName>
    <definedName name="OR13_X3.2_系统对接" localSheetId="28">'[2]Database-下拉框'!$B$309:$B$310</definedName>
    <definedName name="OR14_D1_II类公司" localSheetId="25">'[2]Database-分值计算'!$B$474:$C$476</definedName>
    <definedName name="OR14_D1_II类公司" localSheetId="28">'[2]Database-分值计算'!$B$474:$C$476</definedName>
    <definedName name="OR14_D1_I类公司" localSheetId="25">'[2]Database-分值计算'!$B$471:$C$473</definedName>
    <definedName name="OR14_D1_I类公司" localSheetId="28">'[2]Database-分值计算'!$B$471:$C$473</definedName>
    <definedName name="OR14_D1_精算人员数量" localSheetId="25">'[2]Database-分值计算'!$B$469:$C$470</definedName>
    <definedName name="OR14_D1_精算人员数量" localSheetId="28">'[2]Database-分值计算'!$B$469:$C$470</definedName>
    <definedName name="OR14_D2.1_未到期责任准备金评估" localSheetId="25">'[2]Database-分值计算'!$B$477:$C$479</definedName>
    <definedName name="OR14_D2.1_未到期责任准备金评估" localSheetId="28">'[2]Database-分值计算'!$B$477:$C$479</definedName>
    <definedName name="OR14_D2.2_已发生未报案未决赔款准备金评估" localSheetId="25">'[2]Database-分值计算'!$B$480:$C$482</definedName>
    <definedName name="OR14_D2.2_已发生未报案未决赔款准备金评估" localSheetId="28">'[2]Database-分值计算'!$B$480:$C$482</definedName>
    <definedName name="OR14_D2.3_分保未决赔款准备金管理" localSheetId="25">'[2]Database-分值计算'!$B$483:$C$484</definedName>
    <definedName name="OR14_D2.3_分保未决赔款准备金管理" localSheetId="28">'[2]Database-分值计算'!$B$483:$C$484</definedName>
    <definedName name="OR14_D2.4_准备金核算完整性和及时性" localSheetId="25">'[2]Database-分值计算'!$B$485:$C$486</definedName>
    <definedName name="OR14_D2.4_准备金核算完整性和及时性" localSheetId="28">'[2]Database-分值计算'!$B$485:$C$486</definedName>
    <definedName name="OR14_D2.5_准备金总部是否有冗余" localSheetId="25">'[2]Database-分值计算'!$B$487:$C$488</definedName>
    <definedName name="OR14_D2.5_准备金总部是否有冗余" localSheetId="28">'[2]Database-分值计算'!$B$487:$C$488</definedName>
    <definedName name="OR14_D2.6_再保后未决赔款准备金回溯偏差率得分_II类公司" localSheetId="25">'[2]Database-分值计算'!$B$494:$C$496</definedName>
    <definedName name="OR14_D2.6_再保后未决赔款准备金回溯偏差率得分_II类公司" localSheetId="28">'[2]Database-分值计算'!$B$494:$C$496</definedName>
    <definedName name="OR14_D2.6_再保后未决赔款准备金回溯偏差率得分_I类公司" localSheetId="25">'[2]Database-分值计算'!$B$491:$C$493</definedName>
    <definedName name="OR14_D2.6_再保后未决赔款准备金回溯偏差率得分_I类公司" localSheetId="28">'[2]Database-分值计算'!$B$491:$C$493</definedName>
    <definedName name="OR14_D2.7_准备金管理制度" localSheetId="25">'[2]Database-分值计算'!$B$497:$C$499</definedName>
    <definedName name="OR14_D2.7_准备金管理制度" localSheetId="28">'[2]Database-分值计算'!$B$497:$C$499</definedName>
    <definedName name="OR14_D2.8.1_底稿完善性得分" localSheetId="25">'[2]Database-分值计算'!$B$500:$C$501</definedName>
    <definedName name="OR14_D2.8.1_底稿完善性得分" localSheetId="28">'[2]Database-分值计算'!$B$500:$C$501</definedName>
    <definedName name="OR14_D2.8.2_编制频率得分" localSheetId="25">'[2]Database-分值计算'!$B$502:$C$503</definedName>
    <definedName name="OR14_D2.8.2_编制频率得分" localSheetId="28">'[2]Database-分值计算'!$B$502:$C$503</definedName>
    <definedName name="OR14_D2.8.3_有效复核得分" localSheetId="25">'[2]Database-分值计算'!$B$504:$C$505</definedName>
    <definedName name="OR14_D2.8.3_有效复核得分" localSheetId="28">'[2]Database-分值计算'!$B$504:$C$505</definedName>
    <definedName name="OR14_D2.8.4_有效留存或备份得分" localSheetId="25">'[2]Database-分值计算'!$B$506:$C$507</definedName>
    <definedName name="OR14_D2.8.4_有效留存或备份得分" localSheetId="28">'[2]Database-分值计算'!$B$506:$C$507</definedName>
    <definedName name="OR14_D4.2_未决赔款准备金回溯偏差率" localSheetId="25">'[2]Database-分值计算'!$B$511:$C$513</definedName>
    <definedName name="OR14_D4.2_未决赔款准备金回溯偏差率" localSheetId="28">'[2]Database-分值计算'!$B$511:$C$513</definedName>
    <definedName name="OR14_D4.3_准备金系统数据一致性" localSheetId="25">'[2]Database-分值计算'!$B$514:$C$516</definedName>
    <definedName name="OR14_D4.3_准备金系统数据一致性" localSheetId="28">'[2]Database-分值计算'!$B$514:$C$516</definedName>
    <definedName name="OR14_X2.1_未到期责任准备金评估" localSheetId="25">'[2]Database-下拉框'!$B$141:$B$143</definedName>
    <definedName name="OR14_X2.1_未到期责任准备金评估" localSheetId="28">'[2]Database-下拉框'!$B$141:$B$143</definedName>
    <definedName name="OR14_X2.2_已发生未报案未决赔款准备金评估" localSheetId="25">'[2]Database-下拉框'!$B$144:$B$146</definedName>
    <definedName name="OR14_X2.2_已发生未报案未决赔款准备金评估" localSheetId="28">'[2]Database-下拉框'!$B$144:$B$146</definedName>
    <definedName name="OR14_X2.3_分保未决赔款准备金管理" localSheetId="25">'[2]Database-下拉框'!$B$147:$B$148</definedName>
    <definedName name="OR14_X2.3_分保未决赔款准备金管理" localSheetId="28">'[2]Database-下拉框'!$B$147:$B$148</definedName>
    <definedName name="OR14_X2.4_准备金核算完整性和及时性" localSheetId="25">'[2]Database-下拉框'!$B$149:$B$150</definedName>
    <definedName name="OR14_X2.4_准备金核算完整性和及时性" localSheetId="28">'[2]Database-下拉框'!$B$149:$B$150</definedName>
    <definedName name="OR14_X2.5_准备金总部是否有冗余" localSheetId="25">'[2]Database-下拉框'!$B$151:$B$152</definedName>
    <definedName name="OR14_X2.5_准备金总部是否有冗余" localSheetId="28">'[2]Database-下拉框'!$B$151:$B$152</definedName>
    <definedName name="OR14_X2.7_准备金管理制度" localSheetId="25">'[2]Database-下拉框'!$B$161:$B$163</definedName>
    <definedName name="OR14_X2.7_准备金管理制度" localSheetId="28">'[2]Database-下拉框'!$B$161:$B$163</definedName>
    <definedName name="OR14_X2.8.1_底稿完善性" localSheetId="25">'[2]Database-下拉框'!$B$153:$B$154</definedName>
    <definedName name="OR14_X2.8.1_底稿完善性" localSheetId="28">'[2]Database-下拉框'!$B$153:$B$154</definedName>
    <definedName name="OR14_X2.8.2_编制频率" localSheetId="25">'[2]Database-下拉框'!$B$155:$B$156</definedName>
    <definedName name="OR14_X2.8.2_编制频率" localSheetId="28">'[2]Database-下拉框'!$B$155:$B$156</definedName>
    <definedName name="OR14_X2.8.3_有效复核" localSheetId="25">'[2]Database-下拉框'!$B$157:$B$158</definedName>
    <definedName name="OR14_X2.8.3_有效复核" localSheetId="28">'[2]Database-下拉框'!$B$157:$B$158</definedName>
    <definedName name="OR14_X2.8.4_有效留存或备份" localSheetId="25">'[2]Database-下拉框'!$B$159:$B$160</definedName>
    <definedName name="OR14_X2.8.4_有效留存或备份" localSheetId="28">'[2]Database-下拉框'!$B$159:$B$160</definedName>
    <definedName name="OR15_D1.1_准备金评估工作人员的工作经验" localSheetId="25">'[2]Database-分值计算'!$B$517:$C$520</definedName>
    <definedName name="OR15_D1.1_准备金评估工作人员的工作经验" localSheetId="28">'[2]Database-分值计算'!$B$517:$C$520</definedName>
    <definedName name="OR15_D1.2_总精算师在公司连续工作年限" localSheetId="25">'[2]Database-分值计算'!$B$521:$C$525</definedName>
    <definedName name="OR15_D1.2_总精算师在公司连续工作年限" localSheetId="28">'[2]Database-分值计算'!$B$521:$C$525</definedName>
    <definedName name="OR15_D1.3_总精算师变换情况" localSheetId="25">'[2]Database-分值计算'!$B$526:$C$529</definedName>
    <definedName name="OR15_D1.3_总精算师变换情况" localSheetId="28">'[2]Database-分值计算'!$B$526:$C$529</definedName>
    <definedName name="OR15_D1.4_再保险管理人员的工作经验" localSheetId="25">'[2]Database-分值计算'!$B$530:$C$533</definedName>
    <definedName name="OR15_D1.4_再保险管理人员的工作经验" localSheetId="28">'[2]Database-分值计算'!$B$530:$C$533</definedName>
    <definedName name="OR17_D3.1_百亿元保费案件数" localSheetId="25">'[2]Database-分值计算'!$B$816:$C$820</definedName>
    <definedName name="OR17_D3.1_百亿元保费案件数" localSheetId="28">'[2]Database-分值计算'!$B$816:$C$820</definedName>
    <definedName name="OR17_D3.2_案件增长率" localSheetId="25">'[2]Database-分值计算'!$B$821:$C$825</definedName>
    <definedName name="OR17_D3.2_案件增长率" localSheetId="28">'[2]Database-分值计算'!$B$821:$C$825</definedName>
    <definedName name="OR17_D3.3_案发机构占比" localSheetId="25">'[2]Database-分值计算'!$B$826:$C$830</definedName>
    <definedName name="OR17_D3.3_案发机构占比" localSheetId="28">'[2]Database-分值计算'!$B$826:$C$830</definedName>
    <definedName name="OR17_D3.4_案件报送不及时率" localSheetId="25">'[2]Database-分值计算'!$B$831:$C$835</definedName>
    <definedName name="OR17_D3.4_案件报送不及时率" localSheetId="28">'[2]Database-分值计算'!$B$831:$C$835</definedName>
    <definedName name="OR17_D3.5_案件报送差错率" localSheetId="25">'[2]Database-分值计算'!$B$836:$C$840</definedName>
    <definedName name="OR17_D3.5_案件报送差错率" localSheetId="28">'[2]Database-分值计算'!$B$836:$C$840</definedName>
    <definedName name="OR17_D3.6_重大案件调查完成率" localSheetId="25">'[2]Database-分值计算'!$B$843:$C$846</definedName>
    <definedName name="OR17_D3.6_重大案件调查完成率" localSheetId="28">'[2]Database-分值计算'!$B$843:$C$846</definedName>
    <definedName name="OR17_D3.6_重大案件调查完成率情况" localSheetId="25">'[2]Database-分值计算'!$B$841:$C$842</definedName>
    <definedName name="OR17_D3.6_重大案件调查完成率情况" localSheetId="28">'[2]Database-分值计算'!$B$841:$C$842</definedName>
    <definedName name="OR17_D3.7_问责完成率" localSheetId="25">'[2]Database-分值计算'!$B$849:$C$852</definedName>
    <definedName name="OR17_D3.7_问责完成率" localSheetId="28">'[2]Database-分值计算'!$B$849:$C$852</definedName>
    <definedName name="OR17_D3.7_问责完成率情况" localSheetId="25">'[2]Database-分值计算'!$B$847:$C$848</definedName>
    <definedName name="OR17_D3.7_问责完成率情况" localSheetId="28">'[2]Database-分值计算'!$B$847:$C$848</definedName>
    <definedName name="OR17_D3.8_问责通报完成率" localSheetId="25">'[2]Database-分值计算'!$B$855:$C$858</definedName>
    <definedName name="OR17_D3.8_问责通报完成率" localSheetId="28">'[2]Database-分值计算'!$B$855:$C$858</definedName>
    <definedName name="OR17_D3.8_问责通报完成率情况" localSheetId="25">'[2]Database-分值计算'!$B$853:$C$854</definedName>
    <definedName name="OR17_D3.8_问责通报完成率情况" localSheetId="28">'[2]Database-分值计算'!$B$853:$C$854</definedName>
    <definedName name="OR18_D1.1.1.3_罚款和没收违法所得累计金额" localSheetId="25">'[2]Database-分值计算'!$B$859:$C$862</definedName>
    <definedName name="OR18_D1.1.1.3_罚款和没收违法所得累计金额" localSheetId="28">'[2]Database-分值计算'!$B$859:$C$862</definedName>
    <definedName name="OR18_D1.1.1.4_管理人员受处罚情况" localSheetId="25">'[2]Database-分值计算'!$B$863:$C$865</definedName>
    <definedName name="OR18_D1.1.1.4_管理人员受处罚情况" localSheetId="28">'[2]Database-分值计算'!$B$863:$C$865</definedName>
    <definedName name="OR18_D1.1.2既往行政处罚" localSheetId="25">'[2]Database-分值计算'!$B$866:$C$867</definedName>
    <definedName name="OR18_D1.1.2既往行政处罚" localSheetId="28">'[2]Database-分值计算'!$B$866:$C$867</definedName>
    <definedName name="OR18_D1.2_非保险类行政处罚" localSheetId="25">'[2]Database-分值计算'!$B$868:$C$869</definedName>
    <definedName name="OR18_D1.2_非保险类行政处罚" localSheetId="28">'[2]Database-分值计算'!$B$868:$C$869</definedName>
    <definedName name="OR18_D2.1.1_产险业每家分支机构受罚款金额" localSheetId="25">'[2]Database-分值计算'!$B$873:$C$876</definedName>
    <definedName name="OR18_D2.1.1_产险业每家分支机构受罚款金额" localSheetId="28">'[2]Database-分值计算'!$B$873:$C$876</definedName>
    <definedName name="OR18_D2.1.2_寿险业每家分支机构受罚款金额" localSheetId="25">'[2]Database-分值计算'!$B$877:$C$880</definedName>
    <definedName name="OR18_D2.1.2_寿险业每家分支机构受罚款金额" localSheetId="28">'[2]Database-分值计算'!$B$877:$C$880</definedName>
    <definedName name="OR18_D2.1.3_再保险公司每家分支机构受罚款金额" localSheetId="25">'[2]Database-分值计算'!$B$881:$C$884</definedName>
    <definedName name="OR18_D2.1.3_再保险公司每家分支机构受罚款金额" localSheetId="28">'[2]Database-分值计算'!$B$881:$C$884</definedName>
    <definedName name="OR18_D2.1_每家分支机构受罚款金额_公司类型" localSheetId="25">'[2]Database-分值计算'!$B$870:$C$872</definedName>
    <definedName name="OR18_D2.1_每家分支机构受罚款金额_公司类型" localSheetId="28">'[2]Database-分值计算'!$B$870:$C$872</definedName>
    <definedName name="OR18_D2.2.1_产险业受严重处罚分支机构占比" localSheetId="25">'[2]Database-分值计算'!$B$888:$C$891</definedName>
    <definedName name="OR18_D2.2.1_产险业受严重处罚分支机构占比" localSheetId="28">'[2]Database-分值计算'!$B$888:$C$891</definedName>
    <definedName name="OR18_D2.2.2_寿险业受严重处罚分支机构占比" localSheetId="25">'[2]Database-分值计算'!$B$892:$C$895</definedName>
    <definedName name="OR18_D2.2.2_寿险业受严重处罚分支机构占比" localSheetId="28">'[2]Database-分值计算'!$B$892:$C$895</definedName>
    <definedName name="OR18_D2.2.3_再保险公司受严重处罚分支机构占比" localSheetId="25">'[2]Database-分值计算'!$B$896:$C$899</definedName>
    <definedName name="OR18_D2.2.3_再保险公司受严重处罚分支机构占比" localSheetId="28">'[2]Database-分值计算'!$B$896:$C$899</definedName>
    <definedName name="OR18_D2.2_受严重处罚分支机构占比_公司类型" localSheetId="25">'[2]Database-分值计算'!$B$885:$C$887</definedName>
    <definedName name="OR18_D2.2_受严重处罚分支机构占比_公司类型" localSheetId="28">'[2]Database-分值计算'!$B$885:$C$887</definedName>
    <definedName name="OR18_D3.1_设置合规管理部门" localSheetId="25">'[2]Database-分值计算'!$B$900:$C$901</definedName>
    <definedName name="OR18_D3.1_设置合规管理部门" localSheetId="28">'[2]Database-分值计算'!$B$900:$C$901</definedName>
    <definedName name="OR18_D3.2_合规管理政策" localSheetId="25">'[2]Database-分值计算'!$B$902:$C$903</definedName>
    <definedName name="OR18_D3.2_合规管理政策" localSheetId="28">'[2]Database-分值计算'!$B$902:$C$903</definedName>
    <definedName name="OR18_D3.3_落实合规政策的文件" localSheetId="25">'[2]Database-分值计算'!$B$904:$C$905</definedName>
    <definedName name="OR18_D3.3_落实合规政策的文件" localSheetId="28">'[2]Database-分值计算'!$B$904:$C$905</definedName>
    <definedName name="OR18_D3.4_开展合规培训" localSheetId="25">'[2]Database-分值计算'!$B$906:$C$907</definedName>
    <definedName name="OR18_D3.4_开展合规培训" localSheetId="28">'[2]Database-分值计算'!$B$906:$C$907</definedName>
    <definedName name="OR18_D3.5_提交年度合规报告" localSheetId="25">'[2]Database-分值计算'!$B$908:$C$909</definedName>
    <definedName name="OR18_D3.5_提交年度合规报告" localSheetId="28">'[2]Database-分值计算'!$B$908:$C$909</definedName>
    <definedName name="OR18_D5_特殊评价" localSheetId="25">'[2]Database-分值计算'!$B$910:$C$912</definedName>
    <definedName name="OR18_D5_特殊评价" localSheetId="28">'[2]Database-分值计算'!$B$910:$C$912</definedName>
    <definedName name="OR18_X1.1.1.4_管理人员受处罚情况" localSheetId="25">'[2]Database-下拉框'!$B$311:$B$313</definedName>
    <definedName name="OR18_X1.1.1.4_管理人员受处罚情况" localSheetId="28">'[2]Database-下拉框'!$B$311:$B$313</definedName>
    <definedName name="OR18_X1.2_非保险类行政处罚" localSheetId="25">'[2]Database-下拉框'!$B$316:$B$317</definedName>
    <definedName name="OR18_X1.2_非保险类行政处罚" localSheetId="28">'[2]Database-下拉框'!$B$316:$B$317</definedName>
    <definedName name="OR18_X3.1_设置合规管理部门" localSheetId="25">'[2]Database-下拉框'!$B$318:$B$319</definedName>
    <definedName name="OR18_X3.1_设置合规管理部门" localSheetId="28">'[2]Database-下拉框'!$B$318:$B$319</definedName>
    <definedName name="OR18_X3.2_合规管理政策" localSheetId="25">'[2]Database-下拉框'!$B$320:$B$321</definedName>
    <definedName name="OR18_X3.2_合规管理政策" localSheetId="28">'[2]Database-下拉框'!$B$320:$B$321</definedName>
    <definedName name="OR18_X3.3_落实合规政策的文件" localSheetId="25">'[2]Database-下拉框'!$B$322:$B$323</definedName>
    <definedName name="OR18_X3.3_落实合规政策的文件" localSheetId="28">'[2]Database-下拉框'!$B$322:$B$323</definedName>
    <definedName name="OR18_X3.4_开展合规培训" localSheetId="25">'[2]Database-下拉框'!$B$324:$B$325</definedName>
    <definedName name="OR18_X3.4_开展合规培训" localSheetId="28">'[2]Database-下拉框'!$B$324:$B$325</definedName>
    <definedName name="OR18_X3.5_提交年度合规报告" localSheetId="25">'[2]Database-下拉框'!$B$326:$B$327</definedName>
    <definedName name="OR18_X3.5_提交年度合规报告" localSheetId="28">'[2]Database-下拉框'!$B$326:$B$327</definedName>
    <definedName name="OR18_X5_特殊评价" localSheetId="25">'[2]Database-下拉框'!$B$328:$B$330</definedName>
    <definedName name="OR18_X5_特殊评价" localSheetId="28">'[2]Database-下拉框'!$B$328:$B$330</definedName>
    <definedName name="_xlnm.Print_Area" localSheetId="25">案件管理!$F$1:$G$20</definedName>
    <definedName name="_xlnm.Print_Titles" localSheetId="25">案件管理!$2:$2</definedName>
    <definedName name="RR01_X1.3_外部因素" localSheetId="25">'[2]Database-下拉框'!#REF!</definedName>
    <definedName name="RR01_X1.3_外部因素" localSheetId="28">'[2]Database-下拉框'!#REF!</definedName>
    <definedName name="公司类别" localSheetId="25">[2]封面!#REF!</definedName>
    <definedName name="公司类别" localSheetId="28">[2]封面!#REF!</definedName>
    <definedName name="公司类型" localSheetId="25">[2]封面!$B$4</definedName>
    <definedName name="公司类型" localSheetId="28">[2]封面!$B$4</definedName>
    <definedName name="隶属保监局" localSheetId="10">[3]分支机构封面页!$H$1:$H$36</definedName>
    <definedName name="是否经营农险" localSheetId="25">[2]封面!$B$25</definedName>
    <definedName name="是否经营农险" localSheetId="28">[2]封面!$B$25</definedName>
  </definedNames>
  <calcPr calcId="124519"/>
  <pivotCaches>
    <pivotCache cacheId="4" r:id="rId33"/>
    <pivotCache cacheId="5" r:id="rId34"/>
    <pivotCache cacheId="6" r:id="rId35"/>
    <pivotCache cacheId="7" r:id="rId36"/>
  </pivotCaches>
</workbook>
</file>

<file path=xl/calcChain.xml><?xml version="1.0" encoding="utf-8"?>
<calcChain xmlns="http://schemas.openxmlformats.org/spreadsheetml/2006/main">
  <c r="E3" i="34"/>
  <c r="E4"/>
  <c r="E5"/>
  <c r="E6"/>
  <c r="E7"/>
  <c r="E8"/>
  <c r="E9"/>
  <c r="E10"/>
  <c r="E11"/>
  <c r="E2"/>
  <c r="A3"/>
  <c r="A4"/>
  <c r="A5"/>
  <c r="A8"/>
  <c r="A11"/>
  <c r="A12"/>
  <c r="A6"/>
  <c r="A7"/>
  <c r="A9"/>
  <c r="A10"/>
  <c r="A2"/>
  <c r="G86" i="27" l="1"/>
  <c r="H86"/>
  <c r="I86"/>
  <c r="J86"/>
  <c r="F86"/>
  <c r="J36"/>
  <c r="I36"/>
  <c r="H36"/>
  <c r="F36"/>
  <c r="F3" i="33"/>
  <c r="G3" s="1"/>
  <c r="F4"/>
  <c r="G4" s="1"/>
  <c r="F5"/>
  <c r="G5" s="1"/>
  <c r="F2"/>
  <c r="G2" s="1"/>
  <c r="E1450" i="32" l="1"/>
  <c r="E1449"/>
  <c r="E1448"/>
  <c r="E1447"/>
  <c r="E1446"/>
  <c r="E1445"/>
  <c r="E1444"/>
  <c r="E1443"/>
  <c r="E1442"/>
  <c r="E1441"/>
  <c r="E1440"/>
  <c r="E1439"/>
  <c r="E1438"/>
  <c r="E1437"/>
  <c r="E1436"/>
  <c r="E1435"/>
  <c r="E1434"/>
  <c r="E1433"/>
  <c r="E1432"/>
  <c r="E1431"/>
  <c r="E1430"/>
  <c r="E1429"/>
  <c r="E1428"/>
  <c r="E1427"/>
  <c r="E1426"/>
  <c r="E1425"/>
  <c r="E1424"/>
  <c r="E1423"/>
  <c r="E1422"/>
  <c r="E1421"/>
  <c r="E1420"/>
  <c r="E1419"/>
  <c r="E1418"/>
  <c r="E1417"/>
  <c r="E1416"/>
  <c r="E1415"/>
  <c r="E1414"/>
  <c r="E1413"/>
  <c r="E1412"/>
  <c r="E1411"/>
  <c r="E1410"/>
  <c r="E1409"/>
  <c r="E1408"/>
  <c r="E1407"/>
  <c r="E1406"/>
  <c r="E1405"/>
  <c r="E1404"/>
  <c r="E1403"/>
  <c r="E1402"/>
  <c r="E1401"/>
  <c r="E1400"/>
  <c r="E1399"/>
  <c r="E1398"/>
  <c r="E1397"/>
  <c r="E1396"/>
  <c r="E1395"/>
  <c r="E1394"/>
  <c r="E1393"/>
  <c r="E1392"/>
  <c r="E1391"/>
  <c r="E1390"/>
  <c r="E1389"/>
  <c r="E1388"/>
  <c r="E1387"/>
  <c r="E1386"/>
  <c r="E1385"/>
  <c r="E1384"/>
  <c r="E1383"/>
  <c r="E1382"/>
  <c r="E1381"/>
  <c r="E1380"/>
  <c r="E1379"/>
  <c r="E1378"/>
  <c r="E1377"/>
  <c r="E1376"/>
  <c r="E1375"/>
  <c r="E1374"/>
  <c r="E1373"/>
  <c r="E1372"/>
  <c r="E1371"/>
  <c r="E1370"/>
  <c r="E1369"/>
  <c r="E1368"/>
  <c r="E1367"/>
  <c r="E1366"/>
  <c r="E1365"/>
  <c r="E1364"/>
  <c r="E1363"/>
  <c r="E1362"/>
  <c r="E1361"/>
  <c r="E1360"/>
  <c r="E1359"/>
  <c r="E1358"/>
  <c r="E1357"/>
  <c r="E1356"/>
  <c r="E1355"/>
  <c r="E1354"/>
  <c r="E1353"/>
  <c r="E1352"/>
  <c r="E1351"/>
  <c r="E1350"/>
  <c r="E1349"/>
  <c r="E1348"/>
  <c r="E1347"/>
  <c r="E1346"/>
  <c r="E1345"/>
  <c r="E1344"/>
  <c r="E1343"/>
  <c r="E1342"/>
  <c r="E1341"/>
  <c r="E1340"/>
  <c r="E1339"/>
  <c r="E1338"/>
  <c r="E1337"/>
  <c r="E1336"/>
  <c r="E1335"/>
  <c r="E1334"/>
  <c r="E1333"/>
  <c r="E1332"/>
  <c r="E1331"/>
  <c r="E1330"/>
  <c r="E1329"/>
  <c r="E1328"/>
  <c r="E1327"/>
  <c r="E1326"/>
  <c r="E1325"/>
  <c r="E1324"/>
  <c r="E1323"/>
  <c r="E1322"/>
  <c r="E1321"/>
  <c r="E1320"/>
  <c r="E1319"/>
  <c r="E1318"/>
  <c r="E1317"/>
  <c r="E1316"/>
  <c r="E1315"/>
  <c r="E1314"/>
  <c r="E1313"/>
  <c r="E1312"/>
  <c r="E1311"/>
  <c r="E1310"/>
  <c r="E1309"/>
  <c r="E1308"/>
  <c r="E1307"/>
  <c r="E1306"/>
  <c r="E1305"/>
  <c r="E1304"/>
  <c r="E1303"/>
  <c r="E1302"/>
  <c r="E1301"/>
  <c r="E1300"/>
  <c r="E1299"/>
  <c r="E1298"/>
  <c r="E1297"/>
  <c r="E1296"/>
  <c r="E1295"/>
  <c r="E1294"/>
  <c r="E1293"/>
  <c r="E1292"/>
  <c r="E1291"/>
  <c r="E1290"/>
  <c r="E1289"/>
  <c r="E1288"/>
  <c r="E1287"/>
  <c r="E1286"/>
  <c r="E1285"/>
  <c r="E1284"/>
  <c r="E1283"/>
  <c r="E1282"/>
  <c r="E1281"/>
  <c r="E1280"/>
  <c r="E1279"/>
  <c r="E1278"/>
  <c r="E1277"/>
  <c r="E1276"/>
  <c r="E1275"/>
  <c r="E1274"/>
  <c r="E1273"/>
  <c r="E1272"/>
  <c r="E1271"/>
  <c r="E1270"/>
  <c r="E1269"/>
  <c r="E1268"/>
  <c r="E1267"/>
  <c r="E1266"/>
  <c r="E1265"/>
  <c r="E1264"/>
  <c r="E1263"/>
  <c r="E1262"/>
  <c r="E1261"/>
  <c r="E1260"/>
  <c r="E1259"/>
  <c r="E1258"/>
  <c r="E1257"/>
  <c r="E1256"/>
  <c r="E1255"/>
  <c r="E1254"/>
  <c r="E1253"/>
  <c r="E1252"/>
  <c r="E1251"/>
  <c r="E1250"/>
  <c r="E1249"/>
  <c r="E1248"/>
  <c r="E1247"/>
  <c r="E1246"/>
  <c r="E1245"/>
  <c r="E1244"/>
  <c r="E1243"/>
  <c r="E1242"/>
  <c r="E1241"/>
  <c r="E1240"/>
  <c r="E1239"/>
  <c r="E1238"/>
  <c r="E1237"/>
  <c r="E1236"/>
  <c r="E1235"/>
  <c r="E1234"/>
  <c r="E1233"/>
  <c r="E1232"/>
  <c r="E1231"/>
  <c r="E1230"/>
  <c r="E1229"/>
  <c r="E1228"/>
  <c r="E1227"/>
  <c r="E1226"/>
  <c r="E1225"/>
  <c r="E1224"/>
  <c r="E1223"/>
  <c r="E1222"/>
  <c r="E1221"/>
  <c r="E1220"/>
  <c r="E1219"/>
  <c r="E1218"/>
  <c r="E1217"/>
  <c r="E1216"/>
  <c r="E1215"/>
  <c r="E1214"/>
  <c r="E1213"/>
  <c r="E1212"/>
  <c r="E1211"/>
  <c r="E1210"/>
  <c r="E1209"/>
  <c r="E1208"/>
  <c r="E1207"/>
  <c r="E1206"/>
  <c r="E1205"/>
  <c r="E1204"/>
  <c r="E1203"/>
  <c r="E1202"/>
  <c r="E1201"/>
  <c r="E1200"/>
  <c r="E1199"/>
  <c r="E1198"/>
  <c r="E1197"/>
  <c r="E1196"/>
  <c r="E1195"/>
  <c r="E1194"/>
  <c r="E1193"/>
  <c r="E1192"/>
  <c r="E1191"/>
  <c r="E1190"/>
  <c r="E1189"/>
  <c r="E1188"/>
  <c r="E1187"/>
  <c r="E1186"/>
  <c r="E1185"/>
  <c r="E1184"/>
  <c r="E1183"/>
  <c r="E1182"/>
  <c r="E1181"/>
  <c r="E1180"/>
  <c r="E1179"/>
  <c r="E1178"/>
  <c r="E1177"/>
  <c r="E1176"/>
  <c r="E1175"/>
  <c r="E1174"/>
  <c r="E1173"/>
  <c r="E1172"/>
  <c r="E1171"/>
  <c r="E1170"/>
  <c r="E1169"/>
  <c r="E1168"/>
  <c r="E1167"/>
  <c r="E1166"/>
  <c r="E1165"/>
  <c r="E1164"/>
  <c r="E1163"/>
  <c r="E1162"/>
  <c r="E1161"/>
  <c r="E1160"/>
  <c r="E1159"/>
  <c r="E1158"/>
  <c r="E1157"/>
  <c r="E1156"/>
  <c r="E1155"/>
  <c r="E1154"/>
  <c r="E1153"/>
  <c r="E1152"/>
  <c r="E1151"/>
  <c r="E1150"/>
  <c r="E1149"/>
  <c r="E1148"/>
  <c r="E1147"/>
  <c r="E1146"/>
  <c r="E1145"/>
  <c r="E1144"/>
  <c r="E1143"/>
  <c r="E1142"/>
  <c r="E1141"/>
  <c r="E1140"/>
  <c r="E1139"/>
  <c r="E1138"/>
  <c r="E1137"/>
  <c r="E1136"/>
  <c r="E1135"/>
  <c r="E1134"/>
  <c r="E1133"/>
  <c r="E1132"/>
  <c r="E1131"/>
  <c r="E1130"/>
  <c r="E1129"/>
  <c r="E1128"/>
  <c r="E1127"/>
  <c r="E1126"/>
  <c r="E1125"/>
  <c r="E1124"/>
  <c r="E1123"/>
  <c r="E1122"/>
  <c r="E1121"/>
  <c r="E1120"/>
  <c r="E1119"/>
  <c r="E1118"/>
  <c r="E1117"/>
  <c r="E1116"/>
  <c r="E1115"/>
  <c r="E1114"/>
  <c r="E1113"/>
  <c r="E1112"/>
  <c r="E1111"/>
  <c r="E1110"/>
  <c r="E1109"/>
  <c r="E1108"/>
  <c r="E1107"/>
  <c r="E1106"/>
  <c r="E1105"/>
  <c r="E1104"/>
  <c r="E1103"/>
  <c r="E1102"/>
  <c r="E1101"/>
  <c r="E1100"/>
  <c r="E1099"/>
  <c r="E1098"/>
  <c r="E1097"/>
  <c r="E1096"/>
  <c r="E1095"/>
  <c r="E1094"/>
  <c r="E1093"/>
  <c r="E1092"/>
  <c r="E1091"/>
  <c r="E1090"/>
  <c r="E1089"/>
  <c r="E1088"/>
  <c r="E1087"/>
  <c r="E1086"/>
  <c r="E1085"/>
  <c r="E1084"/>
  <c r="E1083"/>
  <c r="E1082"/>
  <c r="E1081"/>
  <c r="E1080"/>
  <c r="E1079"/>
  <c r="E1078"/>
  <c r="E1077"/>
  <c r="E1076"/>
  <c r="E1075"/>
  <c r="E1074"/>
  <c r="E1073"/>
  <c r="E1072"/>
  <c r="E1071"/>
  <c r="E1070"/>
  <c r="E1069"/>
  <c r="E1068"/>
  <c r="E1067"/>
  <c r="E1066"/>
  <c r="E1065"/>
  <c r="E1064"/>
  <c r="E1063"/>
  <c r="E1062"/>
  <c r="E1061"/>
  <c r="E1060"/>
  <c r="E1059"/>
  <c r="E1058"/>
  <c r="E1057"/>
  <c r="E1056"/>
  <c r="E1055"/>
  <c r="E1054"/>
  <c r="E1053"/>
  <c r="E1052"/>
  <c r="E1051"/>
  <c r="E1050"/>
  <c r="E1049"/>
  <c r="E1048"/>
  <c r="E1047"/>
  <c r="E1046"/>
  <c r="E1045"/>
  <c r="E1044"/>
  <c r="E1043"/>
  <c r="E1042"/>
  <c r="E1041"/>
  <c r="E1040"/>
  <c r="E1039"/>
  <c r="E1038"/>
  <c r="E1037"/>
  <c r="E1036"/>
  <c r="E1035"/>
  <c r="E1034"/>
  <c r="E1033"/>
  <c r="E1032"/>
  <c r="E1031"/>
  <c r="E1030"/>
  <c r="E1029"/>
  <c r="E1028"/>
  <c r="E1027"/>
  <c r="E1026"/>
  <c r="E1025"/>
  <c r="E1024"/>
  <c r="E1023"/>
  <c r="E1022"/>
  <c r="E1021"/>
  <c r="E1020"/>
  <c r="E1019"/>
  <c r="E1018"/>
  <c r="E1017"/>
  <c r="E1016"/>
  <c r="E1015"/>
  <c r="E1014"/>
  <c r="E1013"/>
  <c r="E1012"/>
  <c r="E1011"/>
  <c r="E1010"/>
  <c r="E1009"/>
  <c r="E1008"/>
  <c r="E1007"/>
  <c r="E1006"/>
  <c r="E1005"/>
  <c r="E1004"/>
  <c r="E1003"/>
  <c r="E1002"/>
  <c r="E1001"/>
  <c r="E1000"/>
  <c r="E999"/>
  <c r="E998"/>
  <c r="E997"/>
  <c r="E996"/>
  <c r="E995"/>
  <c r="E994"/>
  <c r="E993"/>
  <c r="E992"/>
  <c r="E991"/>
  <c r="E990"/>
  <c r="E989"/>
  <c r="E988"/>
  <c r="E987"/>
  <c r="E986"/>
  <c r="E985"/>
  <c r="E984"/>
  <c r="E983"/>
  <c r="E982"/>
  <c r="E981"/>
  <c r="E980"/>
  <c r="E979"/>
  <c r="E978"/>
  <c r="E977"/>
  <c r="E976"/>
  <c r="E975"/>
  <c r="E974"/>
  <c r="E973"/>
  <c r="E972"/>
  <c r="E971"/>
  <c r="E970"/>
  <c r="E969"/>
  <c r="E968"/>
  <c r="E967"/>
  <c r="E966"/>
  <c r="E965"/>
  <c r="E964"/>
  <c r="E963"/>
  <c r="E962"/>
  <c r="E961"/>
  <c r="E960"/>
  <c r="E959"/>
  <c r="E958"/>
  <c r="E957"/>
  <c r="E956"/>
  <c r="E955"/>
  <c r="E954"/>
  <c r="E953"/>
  <c r="E952"/>
  <c r="E951"/>
  <c r="E950"/>
  <c r="E949"/>
  <c r="E948"/>
  <c r="E947"/>
  <c r="E946"/>
  <c r="E945"/>
  <c r="E944"/>
  <c r="E943"/>
  <c r="E942"/>
  <c r="E941"/>
  <c r="E940"/>
  <c r="E939"/>
  <c r="E938"/>
  <c r="E937"/>
  <c r="E936"/>
  <c r="E935"/>
  <c r="E934"/>
  <c r="E933"/>
  <c r="E932"/>
  <c r="E931"/>
  <c r="E930"/>
  <c r="E929"/>
  <c r="E928"/>
  <c r="E927"/>
  <c r="E926"/>
  <c r="E925"/>
  <c r="E924"/>
  <c r="E923"/>
  <c r="E922"/>
  <c r="E921"/>
  <c r="E920"/>
  <c r="E919"/>
  <c r="E918"/>
  <c r="E917"/>
  <c r="E916"/>
  <c r="E915"/>
  <c r="E914"/>
  <c r="E913"/>
  <c r="E912"/>
  <c r="E911"/>
  <c r="E910"/>
  <c r="E909"/>
  <c r="E908"/>
  <c r="E907"/>
  <c r="E906"/>
  <c r="E905"/>
  <c r="E904"/>
  <c r="E903"/>
  <c r="E902"/>
  <c r="E901"/>
  <c r="E900"/>
  <c r="E899"/>
  <c r="E898"/>
  <c r="E897"/>
  <c r="E896"/>
  <c r="E895"/>
  <c r="E894"/>
  <c r="E893"/>
  <c r="E892"/>
  <c r="E891"/>
  <c r="E890"/>
  <c r="E889"/>
  <c r="E888"/>
  <c r="E887"/>
  <c r="E886"/>
  <c r="E885"/>
  <c r="E884"/>
  <c r="E883"/>
  <c r="E882"/>
  <c r="E881"/>
  <c r="E880"/>
  <c r="E879"/>
  <c r="E878"/>
  <c r="E877"/>
  <c r="E876"/>
  <c r="E875"/>
  <c r="E874"/>
  <c r="E873"/>
  <c r="E872"/>
  <c r="E871"/>
  <c r="E870"/>
  <c r="E869"/>
  <c r="E868"/>
  <c r="E867"/>
  <c r="E866"/>
  <c r="E865"/>
  <c r="E864"/>
  <c r="E863"/>
  <c r="E862"/>
  <c r="E861"/>
  <c r="E860"/>
  <c r="E859"/>
  <c r="E858"/>
  <c r="E857"/>
  <c r="E856"/>
  <c r="E855"/>
  <c r="E854"/>
  <c r="E853"/>
  <c r="E852"/>
  <c r="E851"/>
  <c r="E850"/>
  <c r="E849"/>
  <c r="E848"/>
  <c r="E847"/>
  <c r="E846"/>
  <c r="E845"/>
  <c r="E844"/>
  <c r="E843"/>
  <c r="E842"/>
  <c r="E841"/>
  <c r="E840"/>
  <c r="E839"/>
  <c r="E838"/>
  <c r="E837"/>
  <c r="E836"/>
  <c r="E835"/>
  <c r="E834"/>
  <c r="E833"/>
  <c r="E832"/>
  <c r="E831"/>
  <c r="E830"/>
  <c r="E829"/>
  <c r="E828"/>
  <c r="E827"/>
  <c r="E826"/>
  <c r="E825"/>
  <c r="E824"/>
  <c r="E823"/>
  <c r="E822"/>
  <c r="E821"/>
  <c r="E820"/>
  <c r="E819"/>
  <c r="E818"/>
  <c r="E817"/>
  <c r="E816"/>
  <c r="E815"/>
  <c r="E814"/>
  <c r="E813"/>
  <c r="E812"/>
  <c r="E811"/>
  <c r="E810"/>
  <c r="E809"/>
  <c r="E808"/>
  <c r="E807"/>
  <c r="E806"/>
  <c r="E805"/>
  <c r="E804"/>
  <c r="E803"/>
  <c r="E802"/>
  <c r="E801"/>
  <c r="E800"/>
  <c r="E799"/>
  <c r="E798"/>
  <c r="E797"/>
  <c r="E796"/>
  <c r="E795"/>
  <c r="E794"/>
  <c r="E793"/>
  <c r="E792"/>
  <c r="E791"/>
  <c r="E790"/>
  <c r="E789"/>
  <c r="E788"/>
  <c r="E787"/>
  <c r="E786"/>
  <c r="E785"/>
  <c r="E784"/>
  <c r="E783"/>
  <c r="E782"/>
  <c r="E781"/>
  <c r="E780"/>
  <c r="E779"/>
  <c r="E778"/>
  <c r="E777"/>
  <c r="E776"/>
  <c r="E775"/>
  <c r="E774"/>
  <c r="E773"/>
  <c r="E772"/>
  <c r="E771"/>
  <c r="E770"/>
  <c r="E769"/>
  <c r="E768"/>
  <c r="E767"/>
  <c r="E766"/>
  <c r="E765"/>
  <c r="E764"/>
  <c r="E763"/>
  <c r="E762"/>
  <c r="E761"/>
  <c r="E760"/>
  <c r="E759"/>
  <c r="E758"/>
  <c r="E757"/>
  <c r="E756"/>
  <c r="E755"/>
  <c r="E754"/>
  <c r="E753"/>
  <c r="E752"/>
  <c r="E751"/>
  <c r="E750"/>
  <c r="E749"/>
  <c r="E748"/>
  <c r="E747"/>
  <c r="E746"/>
  <c r="E745"/>
  <c r="E744"/>
  <c r="E743"/>
  <c r="E742"/>
  <c r="E741"/>
  <c r="E740"/>
  <c r="E739"/>
  <c r="E738"/>
  <c r="E737"/>
  <c r="E736"/>
  <c r="E735"/>
  <c r="E734"/>
  <c r="E733"/>
  <c r="E732"/>
  <c r="E731"/>
  <c r="E730"/>
  <c r="E729"/>
  <c r="E728"/>
  <c r="E727"/>
  <c r="E726"/>
  <c r="E725"/>
  <c r="E724"/>
  <c r="E723"/>
  <c r="E722"/>
  <c r="E721"/>
  <c r="E720"/>
  <c r="E719"/>
  <c r="E718"/>
  <c r="E717"/>
  <c r="E716"/>
  <c r="E715"/>
  <c r="E714"/>
  <c r="E713"/>
  <c r="E712"/>
  <c r="E711"/>
  <c r="E710"/>
  <c r="E709"/>
  <c r="E708"/>
  <c r="E707"/>
  <c r="E706"/>
  <c r="E705"/>
  <c r="E704"/>
  <c r="E703"/>
  <c r="E702"/>
  <c r="E701"/>
  <c r="E700"/>
  <c r="E699"/>
  <c r="E698"/>
  <c r="E697"/>
  <c r="E696"/>
  <c r="E695"/>
  <c r="E694"/>
  <c r="E693"/>
  <c r="E692"/>
  <c r="E691"/>
  <c r="E690"/>
  <c r="E689"/>
  <c r="E688"/>
  <c r="E687"/>
  <c r="E686"/>
  <c r="E685"/>
  <c r="E684"/>
  <c r="E683"/>
  <c r="E682"/>
  <c r="E681"/>
  <c r="E680"/>
  <c r="E679"/>
  <c r="E678"/>
  <c r="E677"/>
  <c r="E676"/>
  <c r="E675"/>
  <c r="E674"/>
  <c r="E673"/>
  <c r="E672"/>
  <c r="E671"/>
  <c r="E670"/>
  <c r="E669"/>
  <c r="E668"/>
  <c r="E667"/>
  <c r="E666"/>
  <c r="E665"/>
  <c r="E664"/>
  <c r="E663"/>
  <c r="E662"/>
  <c r="E661"/>
  <c r="E660"/>
  <c r="E659"/>
  <c r="E658"/>
  <c r="E657"/>
  <c r="E656"/>
  <c r="E655"/>
  <c r="E654"/>
  <c r="E653"/>
  <c r="E652"/>
  <c r="E651"/>
  <c r="E650"/>
  <c r="E649"/>
  <c r="E648"/>
  <c r="E647"/>
  <c r="E646"/>
  <c r="E645"/>
  <c r="E644"/>
  <c r="E643"/>
  <c r="E642"/>
  <c r="E641"/>
  <c r="E640"/>
  <c r="E639"/>
  <c r="E638"/>
  <c r="E637"/>
  <c r="E636"/>
  <c r="E635"/>
  <c r="E634"/>
  <c r="E633"/>
  <c r="E632"/>
  <c r="E631"/>
  <c r="E630"/>
  <c r="E629"/>
  <c r="E628"/>
  <c r="E627"/>
  <c r="E626"/>
  <c r="E625"/>
  <c r="E624"/>
  <c r="E623"/>
  <c r="E622"/>
  <c r="E621"/>
  <c r="E620"/>
  <c r="E619"/>
  <c r="E618"/>
  <c r="E617"/>
  <c r="E616"/>
  <c r="E615"/>
  <c r="E614"/>
  <c r="E613"/>
  <c r="E612"/>
  <c r="E611"/>
  <c r="E610"/>
  <c r="E609"/>
  <c r="E608"/>
  <c r="E607"/>
  <c r="E606"/>
  <c r="E605"/>
  <c r="E604"/>
  <c r="E603"/>
  <c r="E602"/>
  <c r="E601"/>
  <c r="E600"/>
  <c r="E599"/>
  <c r="E598"/>
  <c r="E597"/>
  <c r="E596"/>
  <c r="E595"/>
  <c r="E594"/>
  <c r="E593"/>
  <c r="E592"/>
  <c r="E591"/>
  <c r="E590"/>
  <c r="E589"/>
  <c r="E588"/>
  <c r="E587"/>
  <c r="E586"/>
  <c r="E585"/>
  <c r="E584"/>
  <c r="E583"/>
  <c r="E582"/>
  <c r="E581"/>
  <c r="E580"/>
  <c r="E579"/>
  <c r="E578"/>
  <c r="E577"/>
  <c r="E576"/>
  <c r="E575"/>
  <c r="E574"/>
  <c r="E573"/>
  <c r="E572"/>
  <c r="E571"/>
  <c r="E570"/>
  <c r="E569"/>
  <c r="E568"/>
  <c r="E567"/>
  <c r="E566"/>
  <c r="E565"/>
  <c r="E564"/>
  <c r="E563"/>
  <c r="E562"/>
  <c r="E561"/>
  <c r="E560"/>
  <c r="E559"/>
  <c r="E558"/>
  <c r="E557"/>
  <c r="E556"/>
  <c r="E555"/>
  <c r="E554"/>
  <c r="E553"/>
  <c r="E552"/>
  <c r="E551"/>
  <c r="E550"/>
  <c r="E549"/>
  <c r="E548"/>
  <c r="E547"/>
  <c r="E546"/>
  <c r="E545"/>
  <c r="E544"/>
  <c r="E543"/>
  <c r="E542"/>
  <c r="E541"/>
  <c r="E540"/>
  <c r="E539"/>
  <c r="E538"/>
  <c r="E537"/>
  <c r="E536"/>
  <c r="E535"/>
  <c r="E534"/>
  <c r="E533"/>
  <c r="E532"/>
  <c r="E531"/>
  <c r="E530"/>
  <c r="E529"/>
  <c r="E528"/>
  <c r="E527"/>
  <c r="E526"/>
  <c r="E525"/>
  <c r="E524"/>
  <c r="E523"/>
  <c r="E522"/>
  <c r="E521"/>
  <c r="E520"/>
  <c r="E519"/>
  <c r="E518"/>
  <c r="E517"/>
  <c r="E516"/>
  <c r="E515"/>
  <c r="E514"/>
  <c r="E513"/>
  <c r="E512"/>
  <c r="E511"/>
  <c r="E510"/>
  <c r="E509"/>
  <c r="E508"/>
  <c r="E507"/>
  <c r="E506"/>
  <c r="E505"/>
  <c r="E504"/>
  <c r="E503"/>
  <c r="E502"/>
  <c r="E501"/>
  <c r="E500"/>
  <c r="E499"/>
  <c r="E498"/>
  <c r="E497"/>
  <c r="E496"/>
  <c r="E495"/>
  <c r="E494"/>
  <c r="E493"/>
  <c r="E492"/>
  <c r="E491"/>
  <c r="E490"/>
  <c r="E489"/>
  <c r="E488"/>
  <c r="E487"/>
  <c r="E486"/>
  <c r="E485"/>
  <c r="E484"/>
  <c r="E483"/>
  <c r="E482"/>
  <c r="E481"/>
  <c r="E480"/>
  <c r="E479"/>
  <c r="E478"/>
  <c r="E477"/>
  <c r="E476"/>
  <c r="E475"/>
  <c r="E474"/>
  <c r="E473"/>
  <c r="E472"/>
  <c r="E471"/>
  <c r="E470"/>
  <c r="E469"/>
  <c r="E468"/>
  <c r="E467"/>
  <c r="E466"/>
  <c r="E465"/>
  <c r="E464"/>
  <c r="E463"/>
  <c r="E462"/>
  <c r="E461"/>
  <c r="E460"/>
  <c r="E459"/>
  <c r="E458"/>
  <c r="E457"/>
  <c r="E456"/>
  <c r="E455"/>
  <c r="E454"/>
  <c r="E453"/>
  <c r="E452"/>
  <c r="E451"/>
  <c r="E450"/>
  <c r="E449"/>
  <c r="E448"/>
  <c r="E447"/>
  <c r="E446"/>
  <c r="E445"/>
  <c r="E444"/>
  <c r="E443"/>
  <c r="E442"/>
  <c r="E441"/>
  <c r="E440"/>
  <c r="E439"/>
  <c r="E438"/>
  <c r="E437"/>
  <c r="E436"/>
  <c r="E435"/>
  <c r="E434"/>
  <c r="E433"/>
  <c r="E432"/>
  <c r="E431"/>
  <c r="E430"/>
  <c r="E429"/>
  <c r="E428"/>
  <c r="E427"/>
  <c r="E426"/>
  <c r="E425"/>
  <c r="E424"/>
  <c r="E423"/>
  <c r="E422"/>
  <c r="E421"/>
  <c r="E420"/>
  <c r="E419"/>
  <c r="E418"/>
  <c r="E417"/>
  <c r="E416"/>
  <c r="E415"/>
  <c r="E414"/>
  <c r="E413"/>
  <c r="E412"/>
  <c r="E411"/>
  <c r="E410"/>
  <c r="E409"/>
  <c r="E408"/>
  <c r="E407"/>
  <c r="E406"/>
  <c r="E405"/>
  <c r="E404"/>
  <c r="E403"/>
  <c r="E402"/>
  <c r="E401"/>
  <c r="E400"/>
  <c r="E399"/>
  <c r="E398"/>
  <c r="E397"/>
  <c r="E396"/>
  <c r="E395"/>
  <c r="E394"/>
  <c r="E393"/>
  <c r="E392"/>
  <c r="E391"/>
  <c r="E390"/>
  <c r="E389"/>
  <c r="E388"/>
  <c r="E387"/>
  <c r="E386"/>
  <c r="E385"/>
  <c r="E384"/>
  <c r="E383"/>
  <c r="E382"/>
  <c r="E381"/>
  <c r="E380"/>
  <c r="E379"/>
  <c r="E378"/>
  <c r="E377"/>
  <c r="E376"/>
  <c r="E375"/>
  <c r="E374"/>
  <c r="E373"/>
  <c r="E372"/>
  <c r="E371"/>
  <c r="E370"/>
  <c r="E369"/>
  <c r="E368"/>
  <c r="E367"/>
  <c r="E366"/>
  <c r="E365"/>
  <c r="E364"/>
  <c r="E363"/>
  <c r="E362"/>
  <c r="E361"/>
  <c r="E360"/>
  <c r="E359"/>
  <c r="E358"/>
  <c r="E357"/>
  <c r="E356"/>
  <c r="E355"/>
  <c r="E354"/>
  <c r="E353"/>
  <c r="E352"/>
  <c r="E351"/>
  <c r="E350"/>
  <c r="E349"/>
  <c r="E348"/>
  <c r="E347"/>
  <c r="E346"/>
  <c r="E345"/>
  <c r="E344"/>
  <c r="E343"/>
  <c r="E342"/>
  <c r="E341"/>
  <c r="E340"/>
  <c r="E339"/>
  <c r="E338"/>
  <c r="E337"/>
  <c r="E336"/>
  <c r="E335"/>
  <c r="E334"/>
  <c r="E333"/>
  <c r="E332"/>
  <c r="E331"/>
  <c r="E330"/>
  <c r="E329"/>
  <c r="E328"/>
  <c r="E327"/>
  <c r="E326"/>
  <c r="E325"/>
  <c r="E324"/>
  <c r="E323"/>
  <c r="E322"/>
  <c r="E321"/>
  <c r="E320"/>
  <c r="E319"/>
  <c r="E318"/>
  <c r="E317"/>
  <c r="E316"/>
  <c r="E315"/>
  <c r="E314"/>
  <c r="E313"/>
  <c r="E312"/>
  <c r="E311"/>
  <c r="E310"/>
  <c r="E309"/>
  <c r="E308"/>
  <c r="E307"/>
  <c r="E306"/>
  <c r="E305"/>
  <c r="E304"/>
  <c r="E303"/>
  <c r="E302"/>
  <c r="E301"/>
  <c r="E300"/>
  <c r="E299"/>
  <c r="E298"/>
  <c r="E297"/>
  <c r="E296"/>
  <c r="E295"/>
  <c r="E294"/>
  <c r="E293"/>
  <c r="E292"/>
  <c r="E291"/>
  <c r="E290"/>
  <c r="E289"/>
  <c r="E288"/>
  <c r="E287"/>
  <c r="E286"/>
  <c r="E285"/>
  <c r="E284"/>
  <c r="E283"/>
  <c r="E282"/>
  <c r="E281"/>
  <c r="E280"/>
  <c r="E279"/>
  <c r="E278"/>
  <c r="E277"/>
  <c r="E276"/>
  <c r="E275"/>
  <c r="E274"/>
  <c r="E273"/>
  <c r="E272"/>
  <c r="E271"/>
  <c r="E270"/>
  <c r="E269"/>
  <c r="E268"/>
  <c r="E267"/>
  <c r="E266"/>
  <c r="E265"/>
  <c r="E264"/>
  <c r="E263"/>
  <c r="E262"/>
  <c r="E261"/>
  <c r="E260"/>
  <c r="E259"/>
  <c r="E258"/>
  <c r="E257"/>
  <c r="E256"/>
  <c r="E255"/>
  <c r="E254"/>
  <c r="E253"/>
  <c r="E252"/>
  <c r="E251"/>
  <c r="E250"/>
  <c r="E249"/>
  <c r="E248"/>
  <c r="E247"/>
  <c r="E246"/>
  <c r="E245"/>
  <c r="E244"/>
  <c r="E243"/>
  <c r="E242"/>
  <c r="E241"/>
  <c r="E240"/>
  <c r="E239"/>
  <c r="E238"/>
  <c r="E237"/>
  <c r="E236"/>
  <c r="E235"/>
  <c r="E234"/>
  <c r="E233"/>
  <c r="E232"/>
  <c r="E231"/>
  <c r="E230"/>
  <c r="E229"/>
  <c r="E228"/>
  <c r="E227"/>
  <c r="E226"/>
  <c r="E225"/>
  <c r="E224"/>
  <c r="E223"/>
  <c r="E222"/>
  <c r="E221"/>
  <c r="E220"/>
  <c r="E219"/>
  <c r="E218"/>
  <c r="E217"/>
  <c r="E216"/>
  <c r="E215"/>
  <c r="E214"/>
  <c r="E213"/>
  <c r="E212"/>
  <c r="E211"/>
  <c r="E210"/>
  <c r="E209"/>
  <c r="E208"/>
  <c r="E207"/>
  <c r="E206"/>
  <c r="E205"/>
  <c r="E204"/>
  <c r="E203"/>
  <c r="E202"/>
  <c r="E201"/>
  <c r="E200"/>
  <c r="E199"/>
  <c r="E198"/>
  <c r="E197"/>
  <c r="E196"/>
  <c r="E195"/>
  <c r="E194"/>
  <c r="E193"/>
  <c r="E192"/>
  <c r="E191"/>
  <c r="E190"/>
  <c r="E189"/>
  <c r="E188"/>
  <c r="E187"/>
  <c r="E186"/>
  <c r="E185"/>
  <c r="E184"/>
  <c r="E183"/>
  <c r="E182"/>
  <c r="E181"/>
  <c r="E180"/>
  <c r="E179"/>
  <c r="E178"/>
  <c r="E177"/>
  <c r="E176"/>
  <c r="E175"/>
  <c r="E174"/>
  <c r="E173"/>
  <c r="E172"/>
  <c r="E171"/>
  <c r="E170"/>
  <c r="E169"/>
  <c r="E168"/>
  <c r="E167"/>
  <c r="E166"/>
  <c r="E165"/>
  <c r="E164"/>
  <c r="E163"/>
  <c r="E162"/>
  <c r="E161"/>
  <c r="E160"/>
  <c r="E159"/>
  <c r="E158"/>
  <c r="E157"/>
  <c r="E156"/>
  <c r="E155"/>
  <c r="E154"/>
  <c r="E153"/>
  <c r="E152"/>
  <c r="E151"/>
  <c r="E150"/>
  <c r="E149"/>
  <c r="E148"/>
  <c r="E147"/>
  <c r="E146"/>
  <c r="E145"/>
  <c r="E144"/>
  <c r="E143"/>
  <c r="E142"/>
  <c r="E141"/>
  <c r="E140"/>
  <c r="E139"/>
  <c r="E138"/>
  <c r="E137"/>
  <c r="E136"/>
  <c r="E135"/>
  <c r="E134"/>
  <c r="E133"/>
  <c r="E132"/>
  <c r="E131"/>
  <c r="E130"/>
  <c r="E129"/>
  <c r="E128"/>
  <c r="E127"/>
  <c r="E126"/>
  <c r="E125"/>
  <c r="E124"/>
  <c r="E123"/>
  <c r="E122"/>
  <c r="E121"/>
  <c r="E120"/>
  <c r="E119"/>
  <c r="E118"/>
  <c r="E117"/>
  <c r="E116"/>
  <c r="E115"/>
  <c r="E114"/>
  <c r="E113"/>
  <c r="E112"/>
  <c r="E111"/>
  <c r="E110"/>
  <c r="E109"/>
  <c r="E108"/>
  <c r="E107"/>
  <c r="E106"/>
  <c r="E105"/>
  <c r="E104"/>
  <c r="E103"/>
  <c r="E102"/>
  <c r="E101"/>
  <c r="E100"/>
  <c r="E99"/>
  <c r="E98"/>
  <c r="E97"/>
  <c r="E96"/>
  <c r="E95"/>
  <c r="E94"/>
  <c r="E93"/>
  <c r="E92"/>
  <c r="E91"/>
  <c r="E90"/>
  <c r="E89"/>
  <c r="E88"/>
  <c r="E87"/>
  <c r="E86"/>
  <c r="E85"/>
  <c r="E84"/>
  <c r="E83"/>
  <c r="E82"/>
  <c r="E81"/>
  <c r="E80"/>
  <c r="E79"/>
  <c r="E78"/>
  <c r="E77"/>
  <c r="E76"/>
  <c r="E75"/>
  <c r="E74"/>
  <c r="E73"/>
  <c r="E72"/>
  <c r="E71"/>
  <c r="E70"/>
  <c r="E69"/>
  <c r="E68"/>
  <c r="E67"/>
  <c r="E66"/>
  <c r="E65"/>
  <c r="E64"/>
  <c r="E63"/>
  <c r="E62"/>
  <c r="E61"/>
  <c r="E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E13"/>
  <c r="E12"/>
  <c r="E11"/>
  <c r="E10"/>
  <c r="E9"/>
  <c r="E8"/>
  <c r="E7"/>
  <c r="E6"/>
  <c r="E5"/>
  <c r="E4"/>
  <c r="E3"/>
  <c r="E2"/>
  <c r="E52" i="30"/>
  <c r="F52" s="1"/>
  <c r="E51"/>
  <c r="F51" s="1"/>
  <c r="E50"/>
  <c r="F50" s="1"/>
  <c r="E49"/>
  <c r="F49" s="1"/>
  <c r="E48"/>
  <c r="F48" s="1"/>
  <c r="E47"/>
  <c r="F47" s="1"/>
  <c r="E46"/>
  <c r="F46" s="1"/>
  <c r="E45"/>
  <c r="F45" s="1"/>
  <c r="E43"/>
  <c r="F43" s="1"/>
  <c r="E42"/>
  <c r="F42" s="1"/>
  <c r="E41"/>
  <c r="F41" s="1"/>
  <c r="E40"/>
  <c r="F40" s="1"/>
  <c r="E39"/>
  <c r="F39" s="1"/>
  <c r="E38"/>
  <c r="F38" s="1"/>
  <c r="E37"/>
  <c r="F37" s="1"/>
  <c r="E33"/>
  <c r="F33" s="1"/>
  <c r="E32"/>
  <c r="F32" s="1"/>
  <c r="E31"/>
  <c r="F31" s="1"/>
  <c r="E30"/>
  <c r="F30" s="1"/>
  <c r="E29"/>
  <c r="F29" s="1"/>
  <c r="E28"/>
  <c r="F28" s="1"/>
  <c r="E27"/>
  <c r="F27" s="1"/>
  <c r="E26"/>
  <c r="F26" s="1"/>
  <c r="E25"/>
  <c r="F25" s="1"/>
  <c r="E24"/>
  <c r="F24" s="1"/>
  <c r="E23"/>
  <c r="F23" s="1"/>
  <c r="E22"/>
  <c r="F22" s="1"/>
  <c r="E20"/>
  <c r="F20" s="1"/>
  <c r="E18"/>
  <c r="F18" s="1"/>
  <c r="E17"/>
  <c r="F17" s="1"/>
  <c r="E16"/>
  <c r="F16" s="1"/>
  <c r="E13"/>
  <c r="F13" s="1"/>
  <c r="E12"/>
  <c r="F12" s="1"/>
  <c r="E11"/>
  <c r="F11" s="1"/>
  <c r="E10"/>
  <c r="F10" s="1"/>
  <c r="E9"/>
  <c r="F9" s="1"/>
  <c r="E8"/>
  <c r="F8" s="1"/>
  <c r="E7"/>
  <c r="F7" s="1"/>
  <c r="E6"/>
  <c r="F6" s="1"/>
  <c r="E5"/>
  <c r="F5" s="1"/>
  <c r="E4"/>
  <c r="F4" s="1"/>
  <c r="E3"/>
  <c r="F3" s="1"/>
  <c r="E52" i="29"/>
  <c r="F52" s="1"/>
  <c r="E51"/>
  <c r="F51" s="1"/>
  <c r="E50"/>
  <c r="F50" s="1"/>
  <c r="E49"/>
  <c r="F49" s="1"/>
  <c r="E48"/>
  <c r="F48" s="1"/>
  <c r="E47"/>
  <c r="F47" s="1"/>
  <c r="E46"/>
  <c r="F46" s="1"/>
  <c r="E45"/>
  <c r="F45" s="1"/>
  <c r="E43"/>
  <c r="F43" s="1"/>
  <c r="E42"/>
  <c r="F42" s="1"/>
  <c r="E41"/>
  <c r="F41" s="1"/>
  <c r="E40"/>
  <c r="F40" s="1"/>
  <c r="E39"/>
  <c r="F39" s="1"/>
  <c r="E38"/>
  <c r="F38" s="1"/>
  <c r="E37"/>
  <c r="F37" s="1"/>
  <c r="E33"/>
  <c r="F33" s="1"/>
  <c r="E32"/>
  <c r="F32" s="1"/>
  <c r="E31"/>
  <c r="F31" s="1"/>
  <c r="E30"/>
  <c r="F30" s="1"/>
  <c r="E29"/>
  <c r="F29" s="1"/>
  <c r="E28"/>
  <c r="F28" s="1"/>
  <c r="E27"/>
  <c r="F27" s="1"/>
  <c r="E26"/>
  <c r="F26" s="1"/>
  <c r="E25"/>
  <c r="F25" s="1"/>
  <c r="E24"/>
  <c r="F24" s="1"/>
  <c r="E23"/>
  <c r="F23" s="1"/>
  <c r="E22"/>
  <c r="F22" s="1"/>
  <c r="E20"/>
  <c r="F20" s="1"/>
  <c r="E18"/>
  <c r="F18" s="1"/>
  <c r="E17"/>
  <c r="F17" s="1"/>
  <c r="E16"/>
  <c r="F16" s="1"/>
  <c r="E13"/>
  <c r="F13" s="1"/>
  <c r="E12"/>
  <c r="F12" s="1"/>
  <c r="E11"/>
  <c r="F11" s="1"/>
  <c r="E10"/>
  <c r="F10" s="1"/>
  <c r="E9"/>
  <c r="F9" s="1"/>
  <c r="E8"/>
  <c r="F8" s="1"/>
  <c r="E7"/>
  <c r="F7" s="1"/>
  <c r="E6"/>
  <c r="F6" s="1"/>
  <c r="E5"/>
  <c r="F5" s="1"/>
  <c r="E4"/>
  <c r="F4" s="1"/>
  <c r="E3"/>
  <c r="F3" s="1"/>
  <c r="F62" i="28"/>
  <c r="G62" s="1"/>
  <c r="F61"/>
  <c r="G61" s="1"/>
  <c r="F60"/>
  <c r="G60" s="1"/>
  <c r="F59"/>
  <c r="G59" s="1"/>
  <c r="F58"/>
  <c r="G58" s="1"/>
  <c r="F57"/>
  <c r="G57" s="1"/>
  <c r="F56"/>
  <c r="G56" s="1"/>
  <c r="F55"/>
  <c r="G55" s="1"/>
  <c r="F54"/>
  <c r="G54" s="1"/>
  <c r="F52"/>
  <c r="G52" s="1"/>
  <c r="F51"/>
  <c r="G51" s="1"/>
  <c r="F50"/>
  <c r="G50" s="1"/>
  <c r="F49"/>
  <c r="G49" s="1"/>
  <c r="F48"/>
  <c r="G48" s="1"/>
  <c r="F47"/>
  <c r="G47" s="1"/>
  <c r="F46"/>
  <c r="G46" s="1"/>
  <c r="F45"/>
  <c r="G45" s="1"/>
  <c r="F44"/>
  <c r="G44" s="1"/>
  <c r="F42"/>
  <c r="G42" s="1"/>
  <c r="F41"/>
  <c r="G41" s="1"/>
  <c r="F40"/>
  <c r="G40" s="1"/>
  <c r="F39"/>
  <c r="G39" s="1"/>
  <c r="F38"/>
  <c r="G38" s="1"/>
  <c r="F37"/>
  <c r="G37" s="1"/>
  <c r="F36"/>
  <c r="G36" s="1"/>
  <c r="F35"/>
  <c r="G35" s="1"/>
  <c r="F34"/>
  <c r="G34" s="1"/>
  <c r="F33"/>
  <c r="G33" s="1"/>
  <c r="F32"/>
  <c r="G32" s="1"/>
  <c r="F31"/>
  <c r="G31" s="1"/>
  <c r="F30"/>
  <c r="G30" s="1"/>
  <c r="F29"/>
  <c r="G29" s="1"/>
  <c r="F28"/>
  <c r="G28" s="1"/>
  <c r="F27"/>
  <c r="G27" s="1"/>
  <c r="F26"/>
  <c r="G26" s="1"/>
  <c r="F24"/>
  <c r="G24" s="1"/>
  <c r="F22"/>
  <c r="G22" s="1"/>
  <c r="F21"/>
  <c r="G21" s="1"/>
  <c r="F20"/>
  <c r="G20" s="1"/>
  <c r="F19"/>
  <c r="G19" s="1"/>
  <c r="F18"/>
  <c r="G18" s="1"/>
  <c r="F16"/>
  <c r="G16" s="1"/>
  <c r="F15"/>
  <c r="G15" s="1"/>
  <c r="F14"/>
  <c r="G14" s="1"/>
  <c r="F12"/>
  <c r="G12" s="1"/>
  <c r="F11"/>
  <c r="G11" s="1"/>
  <c r="F10"/>
  <c r="G10" s="1"/>
  <c r="F9"/>
  <c r="G9" s="1"/>
  <c r="F8"/>
  <c r="G8" s="1"/>
  <c r="F7"/>
  <c r="G7" s="1"/>
  <c r="F6"/>
  <c r="G6" s="1"/>
  <c r="F5"/>
  <c r="G5" s="1"/>
  <c r="F4"/>
  <c r="G4" s="1"/>
  <c r="F3"/>
  <c r="G3" s="1"/>
  <c r="J17" i="27"/>
  <c r="I30"/>
  <c r="F17"/>
  <c r="F34"/>
  <c r="I31"/>
  <c r="H31"/>
  <c r="H34"/>
  <c r="G17"/>
  <c r="F30"/>
  <c r="H30"/>
  <c r="I34"/>
  <c r="J30"/>
  <c r="J34"/>
  <c r="E17"/>
  <c r="F31"/>
  <c r="I17"/>
  <c r="H17"/>
  <c r="J31"/>
  <c r="J113" i="26" l="1"/>
  <c r="J115" s="1"/>
  <c r="J119" s="1"/>
  <c r="J124" s="1"/>
  <c r="J127" s="1"/>
  <c r="G83" i="27"/>
  <c r="H83"/>
  <c r="I83"/>
  <c r="J83"/>
  <c r="F83"/>
  <c r="C81" l="1"/>
  <c r="J78"/>
  <c r="I78"/>
  <c r="H78"/>
  <c r="F78"/>
  <c r="E57" l="1"/>
  <c r="E50"/>
  <c r="E51"/>
  <c r="E52"/>
  <c r="E49"/>
  <c r="C35"/>
  <c r="J28"/>
  <c r="I28"/>
  <c r="H28"/>
  <c r="G28"/>
  <c r="J24"/>
  <c r="I24"/>
  <c r="H24"/>
  <c r="G24"/>
  <c r="E16" l="1"/>
  <c r="G15"/>
  <c r="H15"/>
  <c r="I15"/>
  <c r="J15"/>
  <c r="F15"/>
  <c r="G14"/>
  <c r="H14"/>
  <c r="I14"/>
  <c r="J14"/>
  <c r="F14"/>
  <c r="G13"/>
  <c r="H13"/>
  <c r="I13"/>
  <c r="J13"/>
  <c r="F13"/>
  <c r="G12"/>
  <c r="H12"/>
  <c r="I12"/>
  <c r="J12"/>
  <c r="F12"/>
  <c r="G11"/>
  <c r="H11"/>
  <c r="I11"/>
  <c r="J11"/>
  <c r="F11"/>
  <c r="G10"/>
  <c r="H10"/>
  <c r="I10"/>
  <c r="J10"/>
  <c r="F10"/>
  <c r="G9"/>
  <c r="M19" i="2"/>
  <c r="J5" i="27" l="1"/>
  <c r="J6" s="1"/>
  <c r="I5"/>
  <c r="I6" s="1"/>
  <c r="H5"/>
  <c r="H6" s="1"/>
  <c r="G5"/>
  <c r="G6" s="1"/>
  <c r="F5"/>
  <c r="F6" s="1"/>
  <c r="C87" l="1"/>
  <c r="C86"/>
  <c r="C85"/>
  <c r="C84"/>
  <c r="C83"/>
  <c r="C80"/>
  <c r="C79"/>
  <c r="C78"/>
  <c r="C77"/>
  <c r="C76"/>
  <c r="C75"/>
  <c r="C74"/>
  <c r="C73"/>
  <c r="C72"/>
  <c r="C70"/>
  <c r="C68"/>
  <c r="C67"/>
  <c r="C66"/>
  <c r="C65"/>
  <c r="C64"/>
  <c r="C63"/>
  <c r="C62"/>
  <c r="C61"/>
  <c r="C60"/>
  <c r="C59"/>
  <c r="C58"/>
  <c r="C57"/>
  <c r="C16"/>
  <c r="C3"/>
  <c r="C15"/>
  <c r="C14"/>
  <c r="C13"/>
  <c r="C12"/>
  <c r="C11"/>
  <c r="C10"/>
  <c r="C9"/>
  <c r="C8"/>
  <c r="C6"/>
  <c r="C4"/>
  <c r="C2"/>
  <c r="C56"/>
  <c r="C55"/>
  <c r="C54"/>
  <c r="C53"/>
  <c r="C52"/>
  <c r="C51"/>
  <c r="C50"/>
  <c r="C49"/>
  <c r="C48"/>
  <c r="C47"/>
  <c r="C45"/>
  <c r="C20"/>
  <c r="C21"/>
  <c r="C22"/>
  <c r="C24"/>
  <c r="C26"/>
  <c r="C28"/>
  <c r="C29"/>
  <c r="C34"/>
  <c r="C36"/>
  <c r="C37"/>
  <c r="C30"/>
  <c r="C31"/>
  <c r="C33"/>
  <c r="C38"/>
  <c r="C39"/>
  <c r="C41"/>
  <c r="C42"/>
  <c r="C44"/>
  <c r="C46"/>
  <c r="C18"/>
  <c r="C17"/>
  <c r="E88" l="1"/>
  <c r="I88"/>
  <c r="J88"/>
  <c r="F88"/>
  <c r="H88"/>
  <c r="G88"/>
  <c r="C137" i="26"/>
  <c r="H127"/>
  <c r="H124"/>
  <c r="G119"/>
  <c r="H119" s="1"/>
  <c r="G113"/>
  <c r="H115"/>
  <c r="H110"/>
  <c r="G135"/>
  <c r="H135" s="1"/>
  <c r="G134"/>
  <c r="H134" s="1"/>
  <c r="H132"/>
  <c r="H131"/>
  <c r="H129"/>
  <c r="H126"/>
  <c r="H123"/>
  <c r="G121"/>
  <c r="G118"/>
  <c r="G117"/>
  <c r="H116"/>
  <c r="G114"/>
  <c r="G112"/>
  <c r="H109"/>
  <c r="G108"/>
  <c r="H108" s="1"/>
  <c r="G107"/>
  <c r="H107" s="1"/>
  <c r="H104"/>
  <c r="G104"/>
  <c r="C122"/>
  <c r="C123"/>
  <c r="C125"/>
  <c r="C126"/>
  <c r="C128"/>
  <c r="C129"/>
  <c r="C130"/>
  <c r="C131"/>
  <c r="C132"/>
  <c r="C133"/>
  <c r="C134"/>
  <c r="C135"/>
  <c r="C136"/>
  <c r="C121"/>
  <c r="C120"/>
  <c r="C118"/>
  <c r="C117"/>
  <c r="C116"/>
  <c r="C114"/>
  <c r="C112"/>
  <c r="C111"/>
  <c r="C109"/>
  <c r="C108"/>
  <c r="C107"/>
  <c r="C106"/>
  <c r="C105"/>
  <c r="C104"/>
  <c r="C103"/>
  <c r="F83" i="25"/>
  <c r="G83"/>
  <c r="H83"/>
  <c r="I83"/>
  <c r="J83"/>
  <c r="K83"/>
  <c r="L83"/>
  <c r="M83"/>
  <c r="N83"/>
  <c r="E83"/>
  <c r="I6" i="26"/>
  <c r="I4"/>
  <c r="I2"/>
  <c r="C10"/>
  <c r="C9"/>
  <c r="C8"/>
  <c r="C7"/>
  <c r="F66"/>
  <c r="F65"/>
  <c r="F64"/>
  <c r="C64"/>
  <c r="C65"/>
  <c r="C66"/>
  <c r="C67"/>
  <c r="C68"/>
  <c r="C69"/>
  <c r="C70"/>
  <c r="C71"/>
  <c r="C72"/>
  <c r="C73"/>
  <c r="C63"/>
  <c r="C12"/>
  <c r="E62"/>
  <c r="E61"/>
  <c r="E54"/>
  <c r="E50"/>
  <c r="G48"/>
  <c r="E48"/>
  <c r="E45"/>
  <c r="E43"/>
  <c r="E40"/>
  <c r="E38"/>
  <c r="E36"/>
  <c r="E35"/>
  <c r="E34"/>
  <c r="H138" l="1"/>
  <c r="F138"/>
  <c r="H136"/>
  <c r="G136"/>
  <c r="E32" l="1"/>
  <c r="E28"/>
  <c r="E29"/>
  <c r="E30"/>
  <c r="E31"/>
  <c r="E27"/>
  <c r="E25"/>
  <c r="E21"/>
  <c r="E23"/>
  <c r="C62"/>
  <c r="E12"/>
  <c r="E14"/>
  <c r="C59"/>
  <c r="C60"/>
  <c r="C61"/>
  <c r="C58"/>
  <c r="C57"/>
  <c r="C56"/>
  <c r="C54"/>
  <c r="C53"/>
  <c r="C52"/>
  <c r="C50"/>
  <c r="C48"/>
  <c r="C47"/>
  <c r="C45"/>
  <c r="C43"/>
  <c r="C42"/>
  <c r="C40"/>
  <c r="C38"/>
  <c r="C36"/>
  <c r="C35"/>
  <c r="C34"/>
  <c r="C32"/>
  <c r="C31"/>
  <c r="C30"/>
  <c r="C29"/>
  <c r="C28"/>
  <c r="C27"/>
  <c r="C25"/>
  <c r="C23"/>
  <c r="C21"/>
  <c r="C20"/>
  <c r="C18"/>
  <c r="C17"/>
  <c r="C16"/>
  <c r="C14"/>
  <c r="C13"/>
  <c r="C11"/>
  <c r="G138" l="1"/>
  <c r="E138"/>
  <c r="I138"/>
  <c r="N95" i="25"/>
  <c r="M95"/>
  <c r="L95"/>
  <c r="K95"/>
  <c r="J95"/>
  <c r="I95"/>
  <c r="H95"/>
  <c r="G95"/>
  <c r="F95"/>
  <c r="E95"/>
  <c r="N93"/>
  <c r="M93"/>
  <c r="L93"/>
  <c r="K93"/>
  <c r="J93"/>
  <c r="I93"/>
  <c r="H93"/>
  <c r="G93"/>
  <c r="F93"/>
  <c r="E93"/>
  <c r="C95"/>
  <c r="N91"/>
  <c r="M91"/>
  <c r="L91"/>
  <c r="K91"/>
  <c r="J91"/>
  <c r="I91"/>
  <c r="H91"/>
  <c r="G91"/>
  <c r="F91"/>
  <c r="E91"/>
  <c r="C91"/>
  <c r="F89"/>
  <c r="G89"/>
  <c r="H89"/>
  <c r="I89"/>
  <c r="J89"/>
  <c r="K89"/>
  <c r="L89"/>
  <c r="M89"/>
  <c r="N89"/>
  <c r="E89"/>
  <c r="N87"/>
  <c r="M87"/>
  <c r="L87"/>
  <c r="K87"/>
  <c r="J87"/>
  <c r="I87"/>
  <c r="H87"/>
  <c r="G87"/>
  <c r="F87"/>
  <c r="E87"/>
  <c r="F85"/>
  <c r="G85"/>
  <c r="H85"/>
  <c r="I85"/>
  <c r="J85"/>
  <c r="K85"/>
  <c r="L85"/>
  <c r="M85"/>
  <c r="N85"/>
  <c r="E85"/>
  <c r="C87"/>
  <c r="C89"/>
  <c r="C93"/>
  <c r="C85"/>
  <c r="C83"/>
  <c r="N76"/>
  <c r="M76"/>
  <c r="L76"/>
  <c r="K76"/>
  <c r="J76"/>
  <c r="I76"/>
  <c r="H76"/>
  <c r="G76"/>
  <c r="F76"/>
  <c r="E76"/>
  <c r="N67"/>
  <c r="N74"/>
  <c r="M74"/>
  <c r="L74"/>
  <c r="K74"/>
  <c r="J74"/>
  <c r="I74"/>
  <c r="H74"/>
  <c r="G74"/>
  <c r="F74"/>
  <c r="E74"/>
  <c r="G70"/>
  <c r="G67"/>
  <c r="M70"/>
  <c r="L70"/>
  <c r="K70"/>
  <c r="J70"/>
  <c r="I70"/>
  <c r="H70"/>
  <c r="F70"/>
  <c r="E70"/>
  <c r="M67"/>
  <c r="L67"/>
  <c r="K67"/>
  <c r="J67"/>
  <c r="I67"/>
  <c r="H67"/>
  <c r="F67"/>
  <c r="E67"/>
  <c r="M66"/>
  <c r="L66"/>
  <c r="G66"/>
  <c r="N61"/>
  <c r="M61"/>
  <c r="L61"/>
  <c r="K61"/>
  <c r="J61"/>
  <c r="I61"/>
  <c r="H61"/>
  <c r="G61"/>
  <c r="F61"/>
  <c r="E61"/>
  <c r="N59"/>
  <c r="M59"/>
  <c r="L59"/>
  <c r="K59"/>
  <c r="J59"/>
  <c r="I59"/>
  <c r="H59"/>
  <c r="G59"/>
  <c r="F59"/>
  <c r="E59"/>
  <c r="N58"/>
  <c r="M58"/>
  <c r="L58"/>
  <c r="K58"/>
  <c r="J58"/>
  <c r="I58"/>
  <c r="H58"/>
  <c r="G58"/>
  <c r="F58"/>
  <c r="E58"/>
  <c r="N47"/>
  <c r="M47"/>
  <c r="L47"/>
  <c r="K47"/>
  <c r="J47"/>
  <c r="I47"/>
  <c r="H47"/>
  <c r="G47"/>
  <c r="F47"/>
  <c r="E47"/>
  <c r="N45"/>
  <c r="M45"/>
  <c r="L45"/>
  <c r="K45"/>
  <c r="J45"/>
  <c r="I45"/>
  <c r="H45"/>
  <c r="G45"/>
  <c r="F45"/>
  <c r="E45"/>
  <c r="G53" l="1"/>
  <c r="K53"/>
  <c r="H53"/>
  <c r="H81"/>
  <c r="L81"/>
  <c r="F81"/>
  <c r="J81"/>
  <c r="L53"/>
  <c r="E81"/>
  <c r="I81"/>
  <c r="M81"/>
  <c r="F53"/>
  <c r="J53"/>
  <c r="N53"/>
  <c r="E53"/>
  <c r="I53"/>
  <c r="M53"/>
  <c r="G81"/>
  <c r="K81"/>
  <c r="N39"/>
  <c r="M39"/>
  <c r="L39"/>
  <c r="K39"/>
  <c r="J39"/>
  <c r="I39"/>
  <c r="H39"/>
  <c r="G39"/>
  <c r="F39"/>
  <c r="E39"/>
  <c r="N34" l="1"/>
  <c r="M34"/>
  <c r="L34"/>
  <c r="K34"/>
  <c r="J34"/>
  <c r="I34"/>
  <c r="H34"/>
  <c r="G34"/>
  <c r="F34"/>
  <c r="E34"/>
  <c r="N30"/>
  <c r="M30"/>
  <c r="L30"/>
  <c r="K30"/>
  <c r="J30"/>
  <c r="I30"/>
  <c r="H30"/>
  <c r="G30"/>
  <c r="F30"/>
  <c r="E30"/>
  <c r="N29"/>
  <c r="M29"/>
  <c r="L29"/>
  <c r="K29"/>
  <c r="J29"/>
  <c r="I29"/>
  <c r="H29"/>
  <c r="G29"/>
  <c r="F29"/>
  <c r="E29"/>
  <c r="M22"/>
  <c r="N22"/>
  <c r="L22"/>
  <c r="K22"/>
  <c r="N20"/>
  <c r="M20"/>
  <c r="L20"/>
  <c r="K20"/>
  <c r="J20"/>
  <c r="J22"/>
  <c r="I20"/>
  <c r="H20"/>
  <c r="G20"/>
  <c r="F20"/>
  <c r="E20"/>
  <c r="I22"/>
  <c r="H22"/>
  <c r="G22"/>
  <c r="F22"/>
  <c r="E22"/>
  <c r="N15"/>
  <c r="M15"/>
  <c r="L15"/>
  <c r="K15"/>
  <c r="J15"/>
  <c r="I15"/>
  <c r="H15"/>
  <c r="G15"/>
  <c r="F15"/>
  <c r="E15"/>
  <c r="N13"/>
  <c r="M13"/>
  <c r="L13"/>
  <c r="K13"/>
  <c r="J13"/>
  <c r="I13"/>
  <c r="H13"/>
  <c r="G13"/>
  <c r="F13"/>
  <c r="E13"/>
  <c r="N11"/>
  <c r="M11"/>
  <c r="L11"/>
  <c r="K11"/>
  <c r="J11"/>
  <c r="I11"/>
  <c r="H11"/>
  <c r="G11"/>
  <c r="F11"/>
  <c r="E11"/>
  <c r="N6"/>
  <c r="M6"/>
  <c r="L6"/>
  <c r="K6"/>
  <c r="J6"/>
  <c r="I6"/>
  <c r="H6"/>
  <c r="G6"/>
  <c r="F6"/>
  <c r="E6"/>
  <c r="N5"/>
  <c r="M5"/>
  <c r="L5"/>
  <c r="K5"/>
  <c r="J5"/>
  <c r="I5"/>
  <c r="H5"/>
  <c r="G5"/>
  <c r="F5"/>
  <c r="E5"/>
  <c r="C81"/>
  <c r="C80"/>
  <c r="C79"/>
  <c r="C78"/>
  <c r="C75"/>
  <c r="C77"/>
  <c r="C73"/>
  <c r="C72"/>
  <c r="C71"/>
  <c r="C69"/>
  <c r="C68"/>
  <c r="C66"/>
  <c r="C65"/>
  <c r="C64"/>
  <c r="C63"/>
  <c r="C62"/>
  <c r="C60"/>
  <c r="C59"/>
  <c r="C58"/>
  <c r="C57"/>
  <c r="C56"/>
  <c r="C55"/>
  <c r="C54"/>
  <c r="C53"/>
  <c r="C52"/>
  <c r="C51"/>
  <c r="C50"/>
  <c r="C49"/>
  <c r="C48"/>
  <c r="C46"/>
  <c r="C44"/>
  <c r="C43"/>
  <c r="C42"/>
  <c r="C41"/>
  <c r="C40"/>
  <c r="C39"/>
  <c r="C38"/>
  <c r="C37"/>
  <c r="C36"/>
  <c r="C35"/>
  <c r="C34"/>
  <c r="C33"/>
  <c r="C32"/>
  <c r="C31"/>
  <c r="C29"/>
  <c r="C28"/>
  <c r="C27"/>
  <c r="C26"/>
  <c r="C25"/>
  <c r="C24"/>
  <c r="C23"/>
  <c r="C21"/>
  <c r="C19"/>
  <c r="C18"/>
  <c r="C17"/>
  <c r="C16"/>
  <c r="C14"/>
  <c r="C12"/>
  <c r="C10"/>
  <c r="C9"/>
  <c r="C8"/>
  <c r="C7"/>
  <c r="C6"/>
  <c r="C5"/>
  <c r="C4"/>
  <c r="C3"/>
  <c r="C2"/>
  <c r="G35" l="1"/>
  <c r="K35"/>
  <c r="F35"/>
  <c r="J35"/>
  <c r="N35"/>
  <c r="E35"/>
  <c r="I35"/>
  <c r="H35"/>
  <c r="L35"/>
  <c r="D96"/>
  <c r="M35"/>
  <c r="L19" i="2"/>
  <c r="F9" i="27" s="1"/>
  <c r="N19" i="2"/>
  <c r="H9" i="27" s="1"/>
  <c r="O19" i="2"/>
  <c r="I9" i="27" s="1"/>
  <c r="P19" i="2"/>
  <c r="J9" i="27" s="1"/>
  <c r="L16" i="2"/>
  <c r="F7" i="27" s="1"/>
  <c r="F8" s="1"/>
  <c r="M16" i="2"/>
  <c r="N16"/>
  <c r="H7" i="27" s="1"/>
  <c r="H8" s="1"/>
  <c r="O16" i="2"/>
  <c r="I7" i="27" s="1"/>
  <c r="I8" s="1"/>
  <c r="P16" i="2"/>
  <c r="J7" i="27" s="1"/>
  <c r="J8" s="1"/>
  <c r="L11" i="2"/>
  <c r="F4" i="27" s="1"/>
  <c r="M11" i="2"/>
  <c r="G4" i="27" s="1"/>
  <c r="N11" i="2"/>
  <c r="H4" i="27" s="1"/>
  <c r="O11" i="2"/>
  <c r="I4" i="27" s="1"/>
  <c r="P11" i="2"/>
  <c r="J4" i="27" s="1"/>
  <c r="L4" i="2"/>
  <c r="F2" i="27" s="1"/>
  <c r="M4" i="2"/>
  <c r="G2" i="27" s="1"/>
  <c r="N4" i="2"/>
  <c r="H2" i="27" s="1"/>
  <c r="O4" i="2"/>
  <c r="I2" i="27" s="1"/>
  <c r="P4" i="2"/>
  <c r="J2" i="27" s="1"/>
  <c r="P8" i="24" l="1"/>
  <c r="BZ32" i="18" l="1"/>
  <c r="BP32" i="20"/>
  <c r="BR32"/>
  <c r="N36" i="5"/>
  <c r="L17" i="18" l="1"/>
  <c r="L18"/>
  <c r="G22" i="10"/>
  <c r="H22"/>
  <c r="G26"/>
  <c r="G23"/>
  <c r="G21"/>
  <c r="G20"/>
  <c r="G19"/>
  <c r="G18"/>
  <c r="G17"/>
  <c r="G16"/>
  <c r="G15"/>
  <c r="G14"/>
  <c r="G13"/>
  <c r="G12"/>
  <c r="G11"/>
  <c r="G10"/>
  <c r="G9"/>
  <c r="G8"/>
  <c r="G7"/>
  <c r="G6"/>
  <c r="G5"/>
  <c r="G4"/>
  <c r="G3"/>
  <c r="AH52" i="18"/>
  <c r="L7" i="6"/>
  <c r="P14" i="24"/>
  <c r="M4" i="12"/>
  <c r="M5"/>
  <c r="M6"/>
  <c r="M7"/>
  <c r="M8"/>
  <c r="M9"/>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6"/>
  <c r="M117"/>
  <c r="M118"/>
  <c r="M119"/>
  <c r="M120"/>
  <c r="M121"/>
  <c r="M122"/>
  <c r="M123"/>
  <c r="M124"/>
  <c r="M125"/>
  <c r="M126"/>
  <c r="M127"/>
  <c r="M128"/>
  <c r="M129"/>
  <c r="M130"/>
  <c r="M131"/>
  <c r="M3"/>
  <c r="L3"/>
  <c r="G31" i="10" l="1"/>
  <c r="G33" s="1"/>
  <c r="A144" i="24"/>
  <c r="A143"/>
  <c r="O4"/>
  <c r="P4"/>
  <c r="P12"/>
  <c r="P11"/>
  <c r="P10"/>
  <c r="P15"/>
  <c r="P9"/>
  <c r="P7"/>
  <c r="P6"/>
  <c r="P5"/>
  <c r="G36" i="10" l="1"/>
  <c r="G40" s="1"/>
  <c r="D137" i="24" s="1"/>
  <c r="C147" s="1"/>
  <c r="D37"/>
  <c r="D57" s="1"/>
  <c r="G32" i="10"/>
  <c r="G34" s="1"/>
  <c r="Q4" i="24"/>
  <c r="E30"/>
  <c r="D30" s="1"/>
  <c r="D9" s="1"/>
  <c r="F9" s="1"/>
  <c r="G9" s="1"/>
  <c r="O8" s="1"/>
  <c r="D18"/>
  <c r="C2" i="21"/>
  <c r="D2" s="1"/>
  <c r="E2" s="1"/>
  <c r="F2" s="1"/>
  <c r="G2" s="1"/>
  <c r="H2" s="1"/>
  <c r="I2" s="1"/>
  <c r="K2" s="1"/>
  <c r="E8" i="24"/>
  <c r="S8" l="1"/>
  <c r="R8"/>
  <c r="D135"/>
  <c r="C146" s="1"/>
  <c r="E130"/>
  <c r="D130" s="1"/>
  <c r="D119"/>
  <c r="D117"/>
  <c r="D115"/>
  <c r="D129"/>
  <c r="D113"/>
  <c r="D112"/>
  <c r="D111"/>
  <c r="D110"/>
  <c r="D109"/>
  <c r="D108"/>
  <c r="F107"/>
  <c r="D107" s="1"/>
  <c r="E32" i="15"/>
  <c r="E35" s="1"/>
  <c r="D32"/>
  <c r="F31"/>
  <c r="F30"/>
  <c r="F29"/>
  <c r="F28"/>
  <c r="F27"/>
  <c r="F26"/>
  <c r="F25"/>
  <c r="F24"/>
  <c r="F23"/>
  <c r="F22"/>
  <c r="F21"/>
  <c r="F20"/>
  <c r="F19"/>
  <c r="F18"/>
  <c r="F17"/>
  <c r="F16"/>
  <c r="F15"/>
  <c r="F14"/>
  <c r="F13"/>
  <c r="F12"/>
  <c r="F11"/>
  <c r="F10"/>
  <c r="F9"/>
  <c r="F8"/>
  <c r="F7"/>
  <c r="F6"/>
  <c r="F5"/>
  <c r="F4"/>
  <c r="F3"/>
  <c r="H82" i="11"/>
  <c r="H83" s="1"/>
  <c r="H84" s="1"/>
  <c r="D81"/>
  <c r="F80"/>
  <c r="F79"/>
  <c r="F78"/>
  <c r="F77"/>
  <c r="F76"/>
  <c r="F75"/>
  <c r="F74"/>
  <c r="F73"/>
  <c r="F72"/>
  <c r="F71"/>
  <c r="F70"/>
  <c r="F67"/>
  <c r="F65"/>
  <c r="F64"/>
  <c r="F63"/>
  <c r="F62"/>
  <c r="F61"/>
  <c r="F60"/>
  <c r="F59"/>
  <c r="F58"/>
  <c r="F57"/>
  <c r="F56"/>
  <c r="F55"/>
  <c r="F54"/>
  <c r="F53"/>
  <c r="F52"/>
  <c r="F51"/>
  <c r="F50"/>
  <c r="F49"/>
  <c r="F48"/>
  <c r="F47"/>
  <c r="F46"/>
  <c r="F45"/>
  <c r="F44"/>
  <c r="F43"/>
  <c r="F37"/>
  <c r="F36"/>
  <c r="F35"/>
  <c r="F34"/>
  <c r="F33"/>
  <c r="F32"/>
  <c r="F31"/>
  <c r="F30"/>
  <c r="F29"/>
  <c r="F28"/>
  <c r="F27"/>
  <c r="F26"/>
  <c r="F25"/>
  <c r="F24"/>
  <c r="F23"/>
  <c r="F22"/>
  <c r="F21"/>
  <c r="F20"/>
  <c r="F19"/>
  <c r="F17"/>
  <c r="F16"/>
  <c r="F14"/>
  <c r="F13"/>
  <c r="F12"/>
  <c r="F11"/>
  <c r="F10"/>
  <c r="F9"/>
  <c r="F8"/>
  <c r="F7"/>
  <c r="F6"/>
  <c r="F5"/>
  <c r="F4"/>
  <c r="I26" i="10"/>
  <c r="H26"/>
  <c r="I23"/>
  <c r="H23"/>
  <c r="I22"/>
  <c r="I21"/>
  <c r="H21"/>
  <c r="I20"/>
  <c r="H20"/>
  <c r="I19"/>
  <c r="H19"/>
  <c r="I18"/>
  <c r="H18"/>
  <c r="I17"/>
  <c r="H17"/>
  <c r="I16"/>
  <c r="H16"/>
  <c r="I15"/>
  <c r="H15"/>
  <c r="I14"/>
  <c r="H14"/>
  <c r="I13"/>
  <c r="H13"/>
  <c r="I12"/>
  <c r="H12"/>
  <c r="I11"/>
  <c r="H11"/>
  <c r="I10"/>
  <c r="H10"/>
  <c r="I9"/>
  <c r="H9"/>
  <c r="I8"/>
  <c r="H8"/>
  <c r="I7"/>
  <c r="H7"/>
  <c r="I6"/>
  <c r="H6"/>
  <c r="I5"/>
  <c r="H5"/>
  <c r="I4"/>
  <c r="H4"/>
  <c r="I3"/>
  <c r="H3"/>
  <c r="K28" i="16"/>
  <c r="J28"/>
  <c r="E133" i="24" s="1"/>
  <c r="D133" s="1"/>
  <c r="K23" i="16"/>
  <c r="J23"/>
  <c r="K21"/>
  <c r="J21"/>
  <c r="E33" i="24" s="1"/>
  <c r="I21" i="16"/>
  <c r="M20"/>
  <c r="M19"/>
  <c r="M18"/>
  <c r="M17"/>
  <c r="M16"/>
  <c r="M15"/>
  <c r="M14"/>
  <c r="M13"/>
  <c r="M12"/>
  <c r="M11"/>
  <c r="M10"/>
  <c r="M9"/>
  <c r="M8"/>
  <c r="M7"/>
  <c r="M5"/>
  <c r="M4"/>
  <c r="M3"/>
  <c r="K141" i="12"/>
  <c r="H141"/>
  <c r="L131"/>
  <c r="K131"/>
  <c r="J131"/>
  <c r="H131"/>
  <c r="G131"/>
  <c r="L130"/>
  <c r="J130"/>
  <c r="G130"/>
  <c r="L129"/>
  <c r="J129"/>
  <c r="G129"/>
  <c r="L128"/>
  <c r="J128"/>
  <c r="G128"/>
  <c r="L127"/>
  <c r="J127"/>
  <c r="G127"/>
  <c r="L126"/>
  <c r="J126"/>
  <c r="G126"/>
  <c r="L125"/>
  <c r="J125"/>
  <c r="G125"/>
  <c r="L124"/>
  <c r="J124"/>
  <c r="G124"/>
  <c r="L123"/>
  <c r="J123"/>
  <c r="G123"/>
  <c r="L122"/>
  <c r="J122"/>
  <c r="G122"/>
  <c r="L121"/>
  <c r="J121"/>
  <c r="G121"/>
  <c r="L120"/>
  <c r="J120"/>
  <c r="G120"/>
  <c r="L119"/>
  <c r="J119"/>
  <c r="G119"/>
  <c r="L118"/>
  <c r="K118"/>
  <c r="J118"/>
  <c r="H118"/>
  <c r="G118"/>
  <c r="L117"/>
  <c r="J117"/>
  <c r="G117"/>
  <c r="L116"/>
  <c r="J116"/>
  <c r="G116"/>
  <c r="L115"/>
  <c r="J115"/>
  <c r="G115"/>
  <c r="L114"/>
  <c r="J114"/>
  <c r="G114"/>
  <c r="L113"/>
  <c r="J113"/>
  <c r="G113"/>
  <c r="L112"/>
  <c r="J112"/>
  <c r="G112"/>
  <c r="L111"/>
  <c r="J111"/>
  <c r="G111"/>
  <c r="L110"/>
  <c r="J110"/>
  <c r="G110"/>
  <c r="L109"/>
  <c r="J109"/>
  <c r="G109"/>
  <c r="L108"/>
  <c r="J108"/>
  <c r="G108"/>
  <c r="L107"/>
  <c r="J107"/>
  <c r="G107"/>
  <c r="L106"/>
  <c r="J106"/>
  <c r="G106"/>
  <c r="L105"/>
  <c r="J105"/>
  <c r="G105"/>
  <c r="L104"/>
  <c r="K104"/>
  <c r="J104"/>
  <c r="H104"/>
  <c r="G104"/>
  <c r="L103"/>
  <c r="J103"/>
  <c r="G103"/>
  <c r="L102"/>
  <c r="J102"/>
  <c r="G102"/>
  <c r="L101"/>
  <c r="J101"/>
  <c r="G101"/>
  <c r="L100"/>
  <c r="J100"/>
  <c r="G100"/>
  <c r="L99"/>
  <c r="J99"/>
  <c r="G99"/>
  <c r="L98"/>
  <c r="J98"/>
  <c r="G98"/>
  <c r="L97"/>
  <c r="J97"/>
  <c r="G97"/>
  <c r="L96"/>
  <c r="J96"/>
  <c r="G96"/>
  <c r="L95"/>
  <c r="K95"/>
  <c r="J95"/>
  <c r="H95"/>
  <c r="G95"/>
  <c r="L94"/>
  <c r="J94"/>
  <c r="G94"/>
  <c r="L93"/>
  <c r="J93"/>
  <c r="G93"/>
  <c r="L92"/>
  <c r="J92"/>
  <c r="G92"/>
  <c r="L91"/>
  <c r="J91"/>
  <c r="G91"/>
  <c r="L90"/>
  <c r="J90"/>
  <c r="G90"/>
  <c r="L89"/>
  <c r="J89"/>
  <c r="G89"/>
  <c r="L88"/>
  <c r="J88"/>
  <c r="G88"/>
  <c r="L87"/>
  <c r="J87"/>
  <c r="G87"/>
  <c r="L86"/>
  <c r="J86"/>
  <c r="G86"/>
  <c r="L85"/>
  <c r="J85"/>
  <c r="G85"/>
  <c r="L84"/>
  <c r="J84"/>
  <c r="G84"/>
  <c r="L83"/>
  <c r="J83"/>
  <c r="G83"/>
  <c r="L82"/>
  <c r="J82"/>
  <c r="G82"/>
  <c r="L81"/>
  <c r="J81"/>
  <c r="G81"/>
  <c r="L80"/>
  <c r="J80"/>
  <c r="G80"/>
  <c r="L79"/>
  <c r="J79"/>
  <c r="G79"/>
  <c r="L78"/>
  <c r="J78"/>
  <c r="G78"/>
  <c r="L77"/>
  <c r="J77"/>
  <c r="G77"/>
  <c r="L76"/>
  <c r="J76"/>
  <c r="G76"/>
  <c r="L75"/>
  <c r="K75"/>
  <c r="J75"/>
  <c r="H75"/>
  <c r="G75"/>
  <c r="L74"/>
  <c r="J74"/>
  <c r="G74"/>
  <c r="L73"/>
  <c r="J73"/>
  <c r="G73"/>
  <c r="L72"/>
  <c r="J72"/>
  <c r="G72"/>
  <c r="L71"/>
  <c r="J71"/>
  <c r="G71"/>
  <c r="L70"/>
  <c r="J70"/>
  <c r="G70"/>
  <c r="L69"/>
  <c r="J69"/>
  <c r="G69"/>
  <c r="L68"/>
  <c r="J68"/>
  <c r="G68"/>
  <c r="L67"/>
  <c r="J67"/>
  <c r="G67"/>
  <c r="L66"/>
  <c r="J66"/>
  <c r="G66"/>
  <c r="L65"/>
  <c r="J65"/>
  <c r="G65"/>
  <c r="L64"/>
  <c r="J64"/>
  <c r="G64"/>
  <c r="L63"/>
  <c r="J63"/>
  <c r="G63"/>
  <c r="L62"/>
  <c r="J62"/>
  <c r="G62"/>
  <c r="L61"/>
  <c r="J61"/>
  <c r="G61"/>
  <c r="L60"/>
  <c r="K60"/>
  <c r="J60"/>
  <c r="H60"/>
  <c r="G60"/>
  <c r="L59"/>
  <c r="J59"/>
  <c r="G59"/>
  <c r="L58"/>
  <c r="J58"/>
  <c r="G58"/>
  <c r="L57"/>
  <c r="J57"/>
  <c r="G57"/>
  <c r="L56"/>
  <c r="J56"/>
  <c r="G56"/>
  <c r="L55"/>
  <c r="J55"/>
  <c r="G55"/>
  <c r="L54"/>
  <c r="J54"/>
  <c r="G54"/>
  <c r="L53"/>
  <c r="J53"/>
  <c r="G53"/>
  <c r="L52"/>
  <c r="J52"/>
  <c r="G52"/>
  <c r="L51"/>
  <c r="J51"/>
  <c r="G51"/>
  <c r="L50"/>
  <c r="J50"/>
  <c r="G50"/>
  <c r="L49"/>
  <c r="J49"/>
  <c r="G49"/>
  <c r="L48"/>
  <c r="J48"/>
  <c r="G48"/>
  <c r="L47"/>
  <c r="J47"/>
  <c r="G47"/>
  <c r="L46"/>
  <c r="J46"/>
  <c r="G46"/>
  <c r="L45"/>
  <c r="J45"/>
  <c r="G45"/>
  <c r="L44"/>
  <c r="J44"/>
  <c r="G44"/>
  <c r="L43"/>
  <c r="K43"/>
  <c r="J43"/>
  <c r="H43"/>
  <c r="G43"/>
  <c r="L42"/>
  <c r="J42"/>
  <c r="G42"/>
  <c r="L41"/>
  <c r="J41"/>
  <c r="G41"/>
  <c r="L40"/>
  <c r="J40"/>
  <c r="G40"/>
  <c r="L39"/>
  <c r="J39"/>
  <c r="G39"/>
  <c r="L38"/>
  <c r="J38"/>
  <c r="G38"/>
  <c r="L37"/>
  <c r="J37"/>
  <c r="G37"/>
  <c r="L36"/>
  <c r="J36"/>
  <c r="G36"/>
  <c r="L35"/>
  <c r="J35"/>
  <c r="G35"/>
  <c r="L34"/>
  <c r="J34"/>
  <c r="G34"/>
  <c r="L33"/>
  <c r="J33"/>
  <c r="G33"/>
  <c r="L32"/>
  <c r="J32"/>
  <c r="G32"/>
  <c r="L31"/>
  <c r="J31"/>
  <c r="G31"/>
  <c r="L30"/>
  <c r="J30"/>
  <c r="G30"/>
  <c r="L29"/>
  <c r="J29"/>
  <c r="G29"/>
  <c r="L28"/>
  <c r="J28"/>
  <c r="G28"/>
  <c r="L27"/>
  <c r="J27"/>
  <c r="G27"/>
  <c r="L26"/>
  <c r="J26"/>
  <c r="G26"/>
  <c r="L25"/>
  <c r="K25"/>
  <c r="J25"/>
  <c r="H25"/>
  <c r="G25"/>
  <c r="L24"/>
  <c r="J24"/>
  <c r="G24"/>
  <c r="L23"/>
  <c r="J23"/>
  <c r="G23"/>
  <c r="L22"/>
  <c r="J22"/>
  <c r="G22"/>
  <c r="L21"/>
  <c r="J21"/>
  <c r="G21"/>
  <c r="L20"/>
  <c r="J20"/>
  <c r="G20"/>
  <c r="L19"/>
  <c r="J19"/>
  <c r="G19"/>
  <c r="L18"/>
  <c r="J18"/>
  <c r="G18"/>
  <c r="L17"/>
  <c r="J17"/>
  <c r="G17"/>
  <c r="L16"/>
  <c r="J16"/>
  <c r="G16"/>
  <c r="L15"/>
  <c r="J15"/>
  <c r="G15"/>
  <c r="L14"/>
  <c r="K14"/>
  <c r="J14"/>
  <c r="H14"/>
  <c r="G14"/>
  <c r="L13"/>
  <c r="J13"/>
  <c r="G13"/>
  <c r="L12"/>
  <c r="J12"/>
  <c r="G12"/>
  <c r="L11"/>
  <c r="J11"/>
  <c r="G11"/>
  <c r="L10"/>
  <c r="J10"/>
  <c r="G10"/>
  <c r="L9"/>
  <c r="J9"/>
  <c r="G9"/>
  <c r="L8"/>
  <c r="J8"/>
  <c r="G8"/>
  <c r="L7"/>
  <c r="J7"/>
  <c r="G7"/>
  <c r="L6"/>
  <c r="J6"/>
  <c r="G6"/>
  <c r="L5"/>
  <c r="J5"/>
  <c r="G5"/>
  <c r="L4"/>
  <c r="J4"/>
  <c r="G4"/>
  <c r="J3"/>
  <c r="G3"/>
  <c r="M25" i="8"/>
  <c r="L25"/>
  <c r="D136" i="24" s="1"/>
  <c r="E147" s="1"/>
  <c r="L20" i="8"/>
  <c r="D36" i="24" s="1"/>
  <c r="D15" s="1"/>
  <c r="F15" s="1"/>
  <c r="G15" s="1"/>
  <c r="Q19" i="8"/>
  <c r="K19"/>
  <c r="Q18"/>
  <c r="K18"/>
  <c r="Q17"/>
  <c r="K17"/>
  <c r="Q16"/>
  <c r="K16"/>
  <c r="Q15"/>
  <c r="K15"/>
  <c r="Q14"/>
  <c r="K14"/>
  <c r="Q13"/>
  <c r="O13"/>
  <c r="K13"/>
  <c r="Q12"/>
  <c r="K12"/>
  <c r="Q11"/>
  <c r="K11"/>
  <c r="Q10"/>
  <c r="O10"/>
  <c r="N10"/>
  <c r="K10"/>
  <c r="Q9"/>
  <c r="K9"/>
  <c r="Q8"/>
  <c r="K8"/>
  <c r="Q7"/>
  <c r="K7"/>
  <c r="Q6"/>
  <c r="K6"/>
  <c r="Q5"/>
  <c r="K5"/>
  <c r="Q4"/>
  <c r="O4"/>
  <c r="N4"/>
  <c r="K4"/>
  <c r="AC27" i="6"/>
  <c r="Z27"/>
  <c r="C4" i="23" s="1"/>
  <c r="N23" i="6"/>
  <c r="M23"/>
  <c r="E91" i="24" s="1"/>
  <c r="D91" s="1"/>
  <c r="N21" i="6"/>
  <c r="M21"/>
  <c r="H20"/>
  <c r="V18"/>
  <c r="T18"/>
  <c r="M18"/>
  <c r="L18"/>
  <c r="V17"/>
  <c r="T17"/>
  <c r="M17"/>
  <c r="L17"/>
  <c r="V16"/>
  <c r="T16"/>
  <c r="M16"/>
  <c r="L16"/>
  <c r="V15"/>
  <c r="T15"/>
  <c r="M15"/>
  <c r="L15"/>
  <c r="V14"/>
  <c r="T14"/>
  <c r="M14"/>
  <c r="L14"/>
  <c r="V13"/>
  <c r="T13"/>
  <c r="N13"/>
  <c r="AC13" s="1"/>
  <c r="M13"/>
  <c r="L13"/>
  <c r="V12"/>
  <c r="T12"/>
  <c r="M12"/>
  <c r="L12"/>
  <c r="V11"/>
  <c r="T11"/>
  <c r="P11"/>
  <c r="Q11" s="1"/>
  <c r="R11" s="1"/>
  <c r="S11" s="1"/>
  <c r="O11"/>
  <c r="L11"/>
  <c r="V10"/>
  <c r="T10"/>
  <c r="P10"/>
  <c r="Q10" s="1"/>
  <c r="R10" s="1"/>
  <c r="S10" s="1"/>
  <c r="O10"/>
  <c r="L10"/>
  <c r="V9"/>
  <c r="P9"/>
  <c r="Q9" s="1"/>
  <c r="R9" s="1"/>
  <c r="S9" s="1"/>
  <c r="O9"/>
  <c r="J9"/>
  <c r="K9"/>
  <c r="Z9" s="1"/>
  <c r="V8"/>
  <c r="T8"/>
  <c r="N8"/>
  <c r="M8"/>
  <c r="P8" s="1"/>
  <c r="L8"/>
  <c r="V7"/>
  <c r="T7"/>
  <c r="P7"/>
  <c r="Q7" s="1"/>
  <c r="R7" s="1"/>
  <c r="S7" s="1"/>
  <c r="O7"/>
  <c r="V6"/>
  <c r="T6"/>
  <c r="P6"/>
  <c r="Q6" s="1"/>
  <c r="R6" s="1"/>
  <c r="S6" s="1"/>
  <c r="O6"/>
  <c r="L6"/>
  <c r="V5"/>
  <c r="T5"/>
  <c r="P5"/>
  <c r="Q5" s="1"/>
  <c r="R5" s="1"/>
  <c r="S5" s="1"/>
  <c r="O5"/>
  <c r="L5"/>
  <c r="V4"/>
  <c r="P4"/>
  <c r="Q4" s="1"/>
  <c r="R4" s="1"/>
  <c r="S4" s="1"/>
  <c r="O4"/>
  <c r="J4"/>
  <c r="K4"/>
  <c r="S26" i="7"/>
  <c r="T26" s="1"/>
  <c r="U26" s="1"/>
  <c r="H26"/>
  <c r="S25"/>
  <c r="T25" s="1"/>
  <c r="U25" s="1"/>
  <c r="S24"/>
  <c r="T24" s="1"/>
  <c r="U24" s="1"/>
  <c r="P23"/>
  <c r="P24" s="1"/>
  <c r="P26" s="1"/>
  <c r="O23"/>
  <c r="O24" s="1"/>
  <c r="O26" s="1"/>
  <c r="H23"/>
  <c r="R22"/>
  <c r="S22" s="1"/>
  <c r="T22" s="1"/>
  <c r="U22" s="1"/>
  <c r="Q22"/>
  <c r="N22"/>
  <c r="R21"/>
  <c r="S21" s="1"/>
  <c r="T21" s="1"/>
  <c r="U21" s="1"/>
  <c r="Q21"/>
  <c r="N21"/>
  <c r="R20"/>
  <c r="S20" s="1"/>
  <c r="T20" s="1"/>
  <c r="U20" s="1"/>
  <c r="Q20"/>
  <c r="N20"/>
  <c r="R19"/>
  <c r="S19" s="1"/>
  <c r="T19" s="1"/>
  <c r="U19" s="1"/>
  <c r="Q19"/>
  <c r="N19"/>
  <c r="R18"/>
  <c r="S18" s="1"/>
  <c r="T18" s="1"/>
  <c r="U18" s="1"/>
  <c r="Q18"/>
  <c r="N18"/>
  <c r="R17"/>
  <c r="S17" s="1"/>
  <c r="T17" s="1"/>
  <c r="U17" s="1"/>
  <c r="Q17"/>
  <c r="N17"/>
  <c r="R16"/>
  <c r="S16" s="1"/>
  <c r="T16" s="1"/>
  <c r="U16" s="1"/>
  <c r="Q16"/>
  <c r="N16"/>
  <c r="R15"/>
  <c r="S15" s="1"/>
  <c r="T15" s="1"/>
  <c r="U15" s="1"/>
  <c r="Q15"/>
  <c r="N15"/>
  <c r="R14"/>
  <c r="S14" s="1"/>
  <c r="T14" s="1"/>
  <c r="U14" s="1"/>
  <c r="Q14"/>
  <c r="N14"/>
  <c r="R13"/>
  <c r="S13" s="1"/>
  <c r="T13" s="1"/>
  <c r="U13" s="1"/>
  <c r="Q13"/>
  <c r="N13"/>
  <c r="R12"/>
  <c r="S12" s="1"/>
  <c r="T12" s="1"/>
  <c r="U12" s="1"/>
  <c r="Q12"/>
  <c r="N12"/>
  <c r="R11"/>
  <c r="S11" s="1"/>
  <c r="T11" s="1"/>
  <c r="U11" s="1"/>
  <c r="Q11"/>
  <c r="N11"/>
  <c r="R10"/>
  <c r="S10" s="1"/>
  <c r="T10" s="1"/>
  <c r="U10" s="1"/>
  <c r="Q10"/>
  <c r="N10"/>
  <c r="W9"/>
  <c r="R9"/>
  <c r="S9" s="1"/>
  <c r="T9" s="1"/>
  <c r="U9" s="1"/>
  <c r="Q9"/>
  <c r="N9"/>
  <c r="W8"/>
  <c r="R8"/>
  <c r="S8" s="1"/>
  <c r="T8" s="1"/>
  <c r="U8" s="1"/>
  <c r="Q8"/>
  <c r="N8"/>
  <c r="W7"/>
  <c r="R7"/>
  <c r="S7" s="1"/>
  <c r="T7" s="1"/>
  <c r="U7" s="1"/>
  <c r="Q7"/>
  <c r="N7"/>
  <c r="W6"/>
  <c r="R6"/>
  <c r="S6" s="1"/>
  <c r="T6" s="1"/>
  <c r="U6" s="1"/>
  <c r="Q6"/>
  <c r="N6"/>
  <c r="W5"/>
  <c r="R5"/>
  <c r="S5" s="1"/>
  <c r="T5" s="1"/>
  <c r="U5" s="1"/>
  <c r="Q5"/>
  <c r="N5"/>
  <c r="W4"/>
  <c r="R4"/>
  <c r="S4" s="1"/>
  <c r="T4" s="1"/>
  <c r="U4" s="1"/>
  <c r="Q4"/>
  <c r="N4"/>
  <c r="AB70" i="4"/>
  <c r="Z70"/>
  <c r="X70"/>
  <c r="C3" i="23" s="1"/>
  <c r="Q65" i="4"/>
  <c r="R65" s="1"/>
  <c r="S65" s="1"/>
  <c r="T65" s="1"/>
  <c r="I64"/>
  <c r="I63"/>
  <c r="AJ62"/>
  <c r="AB62"/>
  <c r="X62"/>
  <c r="Q62"/>
  <c r="R62" s="1"/>
  <c r="S62" s="1"/>
  <c r="T62" s="1"/>
  <c r="P62"/>
  <c r="O62"/>
  <c r="AJ61"/>
  <c r="AB61"/>
  <c r="X61"/>
  <c r="Q61"/>
  <c r="R61" s="1"/>
  <c r="S61" s="1"/>
  <c r="T61" s="1"/>
  <c r="P61"/>
  <c r="O61"/>
  <c r="AJ60"/>
  <c r="O60"/>
  <c r="N60"/>
  <c r="M60"/>
  <c r="AJ59"/>
  <c r="O59"/>
  <c r="N59"/>
  <c r="M59"/>
  <c r="AJ58"/>
  <c r="O58"/>
  <c r="N58"/>
  <c r="M58"/>
  <c r="AJ57"/>
  <c r="O57"/>
  <c r="N57"/>
  <c r="M57"/>
  <c r="AJ56"/>
  <c r="O56"/>
  <c r="N56"/>
  <c r="M56"/>
  <c r="AJ55"/>
  <c r="AB55"/>
  <c r="X55"/>
  <c r="Q55"/>
  <c r="R55" s="1"/>
  <c r="S55" s="1"/>
  <c r="T55" s="1"/>
  <c r="P55"/>
  <c r="O55"/>
  <c r="AJ54"/>
  <c r="AB54"/>
  <c r="X54"/>
  <c r="Q54"/>
  <c r="R54" s="1"/>
  <c r="S54" s="1"/>
  <c r="T54" s="1"/>
  <c r="P54"/>
  <c r="O54"/>
  <c r="AJ53"/>
  <c r="O53"/>
  <c r="N53"/>
  <c r="M53"/>
  <c r="AJ52"/>
  <c r="O52"/>
  <c r="N52"/>
  <c r="M52"/>
  <c r="AJ51"/>
  <c r="AB51"/>
  <c r="X51"/>
  <c r="Q51"/>
  <c r="R51" s="1"/>
  <c r="S51" s="1"/>
  <c r="T51" s="1"/>
  <c r="P51"/>
  <c r="O51"/>
  <c r="AJ50"/>
  <c r="AB50"/>
  <c r="X50"/>
  <c r="Q50"/>
  <c r="R50" s="1"/>
  <c r="S50" s="1"/>
  <c r="T50" s="1"/>
  <c r="P50"/>
  <c r="O50"/>
  <c r="AJ49"/>
  <c r="AB49"/>
  <c r="X49"/>
  <c r="Q49"/>
  <c r="R49" s="1"/>
  <c r="S49" s="1"/>
  <c r="T49" s="1"/>
  <c r="P49"/>
  <c r="O49"/>
  <c r="AJ48"/>
  <c r="AB48"/>
  <c r="X48"/>
  <c r="Q48"/>
  <c r="R48" s="1"/>
  <c r="S48" s="1"/>
  <c r="T48" s="1"/>
  <c r="P48"/>
  <c r="O48"/>
  <c r="AJ47"/>
  <c r="O47"/>
  <c r="N47"/>
  <c r="M47"/>
  <c r="E47" i="26" s="1"/>
  <c r="AJ46" i="4"/>
  <c r="AB46"/>
  <c r="X46"/>
  <c r="Q46"/>
  <c r="R46" s="1"/>
  <c r="S46" s="1"/>
  <c r="T46" s="1"/>
  <c r="P46"/>
  <c r="O46"/>
  <c r="AJ45"/>
  <c r="AB45"/>
  <c r="X45"/>
  <c r="Q45"/>
  <c r="R45" s="1"/>
  <c r="S45" s="1"/>
  <c r="T45" s="1"/>
  <c r="P45"/>
  <c r="O45"/>
  <c r="AJ44"/>
  <c r="AB44"/>
  <c r="X44"/>
  <c r="Q44"/>
  <c r="R44" s="1"/>
  <c r="S44" s="1"/>
  <c r="T44" s="1"/>
  <c r="P44"/>
  <c r="O44"/>
  <c r="AJ43"/>
  <c r="AB43"/>
  <c r="X43"/>
  <c r="Q43"/>
  <c r="R43" s="1"/>
  <c r="S43" s="1"/>
  <c r="T43" s="1"/>
  <c r="P43"/>
  <c r="O43"/>
  <c r="AJ42"/>
  <c r="O42"/>
  <c r="N42"/>
  <c r="M42"/>
  <c r="AJ41"/>
  <c r="AB41"/>
  <c r="X41"/>
  <c r="Q41"/>
  <c r="R41" s="1"/>
  <c r="S41" s="1"/>
  <c r="T41" s="1"/>
  <c r="P41"/>
  <c r="O41"/>
  <c r="AJ40"/>
  <c r="AB40"/>
  <c r="X40"/>
  <c r="Q40"/>
  <c r="R40" s="1"/>
  <c r="S40" s="1"/>
  <c r="T40" s="1"/>
  <c r="P40"/>
  <c r="O40"/>
  <c r="AJ39"/>
  <c r="AB39"/>
  <c r="X39"/>
  <c r="Q39"/>
  <c r="R39" s="1"/>
  <c r="S39" s="1"/>
  <c r="T39" s="1"/>
  <c r="P39"/>
  <c r="O39"/>
  <c r="AJ38"/>
  <c r="AB38"/>
  <c r="X38"/>
  <c r="Q38"/>
  <c r="R38" s="1"/>
  <c r="S38" s="1"/>
  <c r="T38" s="1"/>
  <c r="P38"/>
  <c r="O38"/>
  <c r="AJ37"/>
  <c r="AB37"/>
  <c r="X37"/>
  <c r="Q37"/>
  <c r="R37" s="1"/>
  <c r="S37" s="1"/>
  <c r="T37" s="1"/>
  <c r="P37"/>
  <c r="O37"/>
  <c r="AJ36"/>
  <c r="AB36"/>
  <c r="X36"/>
  <c r="Q36"/>
  <c r="R36" s="1"/>
  <c r="S36" s="1"/>
  <c r="T36" s="1"/>
  <c r="P36"/>
  <c r="O36"/>
  <c r="AJ35"/>
  <c r="AB35"/>
  <c r="X35"/>
  <c r="Q35"/>
  <c r="R35" s="1"/>
  <c r="S35" s="1"/>
  <c r="T35" s="1"/>
  <c r="P35"/>
  <c r="O35"/>
  <c r="AJ34"/>
  <c r="AB34"/>
  <c r="X34"/>
  <c r="Q34"/>
  <c r="R34" s="1"/>
  <c r="S34" s="1"/>
  <c r="T34" s="1"/>
  <c r="P34"/>
  <c r="O34"/>
  <c r="AJ33"/>
  <c r="AB33"/>
  <c r="X33"/>
  <c r="Q33"/>
  <c r="R33" s="1"/>
  <c r="S33" s="1"/>
  <c r="T33" s="1"/>
  <c r="P33"/>
  <c r="O33"/>
  <c r="AJ32"/>
  <c r="AB32"/>
  <c r="X32"/>
  <c r="Q32"/>
  <c r="R32" s="1"/>
  <c r="S32" s="1"/>
  <c r="T32" s="1"/>
  <c r="P32"/>
  <c r="O32"/>
  <c r="AJ31"/>
  <c r="AB31"/>
  <c r="X31"/>
  <c r="Q31"/>
  <c r="R31" s="1"/>
  <c r="S31" s="1"/>
  <c r="T31" s="1"/>
  <c r="P31"/>
  <c r="O31"/>
  <c r="AJ30"/>
  <c r="AB30"/>
  <c r="X30"/>
  <c r="Q30"/>
  <c r="R30" s="1"/>
  <c r="S30" s="1"/>
  <c r="T30" s="1"/>
  <c r="P30"/>
  <c r="O30"/>
  <c r="AJ29"/>
  <c r="AB29"/>
  <c r="X29"/>
  <c r="Q29"/>
  <c r="R29" s="1"/>
  <c r="S29" s="1"/>
  <c r="T29" s="1"/>
  <c r="P29"/>
  <c r="O29"/>
  <c r="AJ28"/>
  <c r="AB28"/>
  <c r="X28"/>
  <c r="Q28"/>
  <c r="R28" s="1"/>
  <c r="S28" s="1"/>
  <c r="T28" s="1"/>
  <c r="P28"/>
  <c r="O28"/>
  <c r="AJ27"/>
  <c r="AB27"/>
  <c r="X27"/>
  <c r="Q27"/>
  <c r="R27" s="1"/>
  <c r="S27" s="1"/>
  <c r="T27" s="1"/>
  <c r="P27"/>
  <c r="O27"/>
  <c r="AJ26"/>
  <c r="AB26"/>
  <c r="X26"/>
  <c r="Q26"/>
  <c r="R26" s="1"/>
  <c r="S26" s="1"/>
  <c r="T26" s="1"/>
  <c r="P26"/>
  <c r="O26"/>
  <c r="AJ25"/>
  <c r="AB25"/>
  <c r="X25"/>
  <c r="Q25"/>
  <c r="R25" s="1"/>
  <c r="S25" s="1"/>
  <c r="T25" s="1"/>
  <c r="P25"/>
  <c r="O25"/>
  <c r="AJ24"/>
  <c r="AB24"/>
  <c r="X24"/>
  <c r="Q24"/>
  <c r="R24" s="1"/>
  <c r="S24" s="1"/>
  <c r="T24" s="1"/>
  <c r="P24"/>
  <c r="O24"/>
  <c r="AJ23"/>
  <c r="AB23"/>
  <c r="X23"/>
  <c r="Q23"/>
  <c r="R23" s="1"/>
  <c r="S23" s="1"/>
  <c r="T23" s="1"/>
  <c r="P23"/>
  <c r="O23"/>
  <c r="AJ22"/>
  <c r="AB22"/>
  <c r="X22"/>
  <c r="Q22"/>
  <c r="R22" s="1"/>
  <c r="S22" s="1"/>
  <c r="T22" s="1"/>
  <c r="P22"/>
  <c r="O22"/>
  <c r="AJ21"/>
  <c r="AB21"/>
  <c r="X21"/>
  <c r="Q21"/>
  <c r="R21" s="1"/>
  <c r="S21" s="1"/>
  <c r="T21" s="1"/>
  <c r="P21"/>
  <c r="O21"/>
  <c r="AJ20"/>
  <c r="AB20"/>
  <c r="X20"/>
  <c r="Q20"/>
  <c r="R20" s="1"/>
  <c r="S20" s="1"/>
  <c r="T20" s="1"/>
  <c r="P20"/>
  <c r="O20"/>
  <c r="AJ19"/>
  <c r="AB19"/>
  <c r="X19"/>
  <c r="Q19"/>
  <c r="R19" s="1"/>
  <c r="S19" s="1"/>
  <c r="T19" s="1"/>
  <c r="P19"/>
  <c r="O19"/>
  <c r="AJ18"/>
  <c r="L18"/>
  <c r="N18" s="1"/>
  <c r="K18"/>
  <c r="M18" s="1"/>
  <c r="E20" i="26" s="1"/>
  <c r="AJ17" i="4"/>
  <c r="AB17"/>
  <c r="X17"/>
  <c r="Q17"/>
  <c r="R17" s="1"/>
  <c r="S17" s="1"/>
  <c r="T17" s="1"/>
  <c r="P17"/>
  <c r="O17"/>
  <c r="AJ16"/>
  <c r="O16"/>
  <c r="N16"/>
  <c r="M16"/>
  <c r="AJ15"/>
  <c r="AB15"/>
  <c r="X15"/>
  <c r="Q15"/>
  <c r="R15" s="1"/>
  <c r="S15" s="1"/>
  <c r="T15" s="1"/>
  <c r="P15"/>
  <c r="O15"/>
  <c r="AJ14"/>
  <c r="AB14"/>
  <c r="X14"/>
  <c r="Q14"/>
  <c r="R14" s="1"/>
  <c r="S14" s="1"/>
  <c r="T14" s="1"/>
  <c r="P14"/>
  <c r="O14"/>
  <c r="AJ13"/>
  <c r="AB13"/>
  <c r="X13"/>
  <c r="Q13"/>
  <c r="R13" s="1"/>
  <c r="S13" s="1"/>
  <c r="T13" s="1"/>
  <c r="P13"/>
  <c r="O13"/>
  <c r="AJ12"/>
  <c r="L12"/>
  <c r="N12" s="1"/>
  <c r="K12"/>
  <c r="M12" s="1"/>
  <c r="E17" i="26" s="1"/>
  <c r="AJ11" i="4"/>
  <c r="AB11"/>
  <c r="X11"/>
  <c r="Q11"/>
  <c r="R11" s="1"/>
  <c r="S11" s="1"/>
  <c r="T11" s="1"/>
  <c r="P11"/>
  <c r="O11"/>
  <c r="AJ10"/>
  <c r="AB10"/>
  <c r="X10"/>
  <c r="Q10"/>
  <c r="R10" s="1"/>
  <c r="S10" s="1"/>
  <c r="T10" s="1"/>
  <c r="P10"/>
  <c r="O10"/>
  <c r="AJ9"/>
  <c r="L9"/>
  <c r="N9" s="1"/>
  <c r="K9"/>
  <c r="M9" s="1"/>
  <c r="AJ8"/>
  <c r="AB8"/>
  <c r="X8"/>
  <c r="Q8"/>
  <c r="R8" s="1"/>
  <c r="S8" s="1"/>
  <c r="T8" s="1"/>
  <c r="P8"/>
  <c r="O8"/>
  <c r="AJ7"/>
  <c r="AB7"/>
  <c r="X7"/>
  <c r="Q7"/>
  <c r="R7" s="1"/>
  <c r="S7" s="1"/>
  <c r="T7" s="1"/>
  <c r="P7"/>
  <c r="O7"/>
  <c r="AJ6"/>
  <c r="O6"/>
  <c r="N6"/>
  <c r="M6"/>
  <c r="E13" i="26" s="1"/>
  <c r="AJ5" i="4"/>
  <c r="AB5"/>
  <c r="X5"/>
  <c r="Q5"/>
  <c r="R5" s="1"/>
  <c r="S5" s="1"/>
  <c r="T5" s="1"/>
  <c r="P5"/>
  <c r="O5"/>
  <c r="AJ4"/>
  <c r="O4"/>
  <c r="N4"/>
  <c r="M4"/>
  <c r="E11" i="26" s="1"/>
  <c r="AG45" i="5"/>
  <c r="AC45"/>
  <c r="C7" i="23" s="1"/>
  <c r="AA45" i="5"/>
  <c r="Q44"/>
  <c r="P44"/>
  <c r="H44"/>
  <c r="H43"/>
  <c r="H42"/>
  <c r="AH41"/>
  <c r="R41"/>
  <c r="M41"/>
  <c r="Q41" s="1"/>
  <c r="Q45" s="1"/>
  <c r="Q46" s="1"/>
  <c r="N41"/>
  <c r="P41" s="1"/>
  <c r="AH40"/>
  <c r="AC40"/>
  <c r="AA40"/>
  <c r="W40"/>
  <c r="S40"/>
  <c r="T40" s="1"/>
  <c r="U40" s="1"/>
  <c r="V40" s="1"/>
  <c r="R40"/>
  <c r="O40"/>
  <c r="AH39"/>
  <c r="AC39"/>
  <c r="AA39"/>
  <c r="W39"/>
  <c r="S39"/>
  <c r="T39" s="1"/>
  <c r="U39" s="1"/>
  <c r="V39" s="1"/>
  <c r="R39"/>
  <c r="O39"/>
  <c r="AH38"/>
  <c r="AC38"/>
  <c r="AA38"/>
  <c r="W38"/>
  <c r="S38"/>
  <c r="T38" s="1"/>
  <c r="U38" s="1"/>
  <c r="V38" s="1"/>
  <c r="R38"/>
  <c r="O38"/>
  <c r="AH37"/>
  <c r="AC37"/>
  <c r="AA37"/>
  <c r="W37"/>
  <c r="S37"/>
  <c r="T37" s="1"/>
  <c r="U37" s="1"/>
  <c r="V37" s="1"/>
  <c r="R37"/>
  <c r="O37"/>
  <c r="AH36"/>
  <c r="M36"/>
  <c r="P36"/>
  <c r="H133" i="26" s="1"/>
  <c r="I133" s="1"/>
  <c r="AH35" i="5"/>
  <c r="AC35"/>
  <c r="AA35"/>
  <c r="W35"/>
  <c r="S35"/>
  <c r="T35" s="1"/>
  <c r="U35" s="1"/>
  <c r="V35" s="1"/>
  <c r="R35"/>
  <c r="O35"/>
  <c r="AH34"/>
  <c r="AC34"/>
  <c r="AA34"/>
  <c r="W34"/>
  <c r="S34"/>
  <c r="T34" s="1"/>
  <c r="U34" s="1"/>
  <c r="V34" s="1"/>
  <c r="R34"/>
  <c r="O34"/>
  <c r="AH33"/>
  <c r="P33"/>
  <c r="O33"/>
  <c r="AH32"/>
  <c r="AC32"/>
  <c r="AA32"/>
  <c r="W32"/>
  <c r="S32"/>
  <c r="T32" s="1"/>
  <c r="U32" s="1"/>
  <c r="V32" s="1"/>
  <c r="R32"/>
  <c r="O32"/>
  <c r="AH31"/>
  <c r="Q31"/>
  <c r="P31"/>
  <c r="H128" i="26" s="1"/>
  <c r="O31" i="5"/>
  <c r="AH30"/>
  <c r="AC30"/>
  <c r="AA30"/>
  <c r="W30"/>
  <c r="S30"/>
  <c r="T30" s="1"/>
  <c r="U30" s="1"/>
  <c r="V30" s="1"/>
  <c r="R30"/>
  <c r="O30"/>
  <c r="AH29"/>
  <c r="Q29"/>
  <c r="P29"/>
  <c r="O29"/>
  <c r="AH28"/>
  <c r="AC28"/>
  <c r="AA28"/>
  <c r="W28"/>
  <c r="S28"/>
  <c r="T28" s="1"/>
  <c r="U28" s="1"/>
  <c r="V28" s="1"/>
  <c r="R28"/>
  <c r="O28"/>
  <c r="AH27"/>
  <c r="AC27"/>
  <c r="AA27"/>
  <c r="W27"/>
  <c r="S27"/>
  <c r="T27" s="1"/>
  <c r="U27" s="1"/>
  <c r="V27" s="1"/>
  <c r="R27"/>
  <c r="O27"/>
  <c r="AH26"/>
  <c r="AC26"/>
  <c r="AA26"/>
  <c r="W26"/>
  <c r="S26"/>
  <c r="T26" s="1"/>
  <c r="U26" s="1"/>
  <c r="V26" s="1"/>
  <c r="R26"/>
  <c r="O26"/>
  <c r="M25"/>
  <c r="Q25" s="1"/>
  <c r="N25"/>
  <c r="P25" s="1"/>
  <c r="AH24"/>
  <c r="AC24"/>
  <c r="AA24"/>
  <c r="W24"/>
  <c r="S24"/>
  <c r="T24" s="1"/>
  <c r="U24" s="1"/>
  <c r="V24" s="1"/>
  <c r="R24"/>
  <c r="O24"/>
  <c r="AH23"/>
  <c r="Q23"/>
  <c r="P23"/>
  <c r="O23"/>
  <c r="AH22"/>
  <c r="AC22"/>
  <c r="AA22"/>
  <c r="W22"/>
  <c r="S22"/>
  <c r="T22" s="1"/>
  <c r="U22" s="1"/>
  <c r="V22" s="1"/>
  <c r="R22"/>
  <c r="O22"/>
  <c r="AH21"/>
  <c r="AC21"/>
  <c r="AA21"/>
  <c r="W21"/>
  <c r="S21"/>
  <c r="T21" s="1"/>
  <c r="U21" s="1"/>
  <c r="V21" s="1"/>
  <c r="R21"/>
  <c r="O21"/>
  <c r="AH20"/>
  <c r="AC20"/>
  <c r="AA20"/>
  <c r="W20"/>
  <c r="S20"/>
  <c r="T20" s="1"/>
  <c r="U20" s="1"/>
  <c r="V20" s="1"/>
  <c r="R20"/>
  <c r="O20"/>
  <c r="AH19"/>
  <c r="AC19"/>
  <c r="AA19"/>
  <c r="W19"/>
  <c r="S19"/>
  <c r="T19" s="1"/>
  <c r="U19" s="1"/>
  <c r="V19" s="1"/>
  <c r="R19"/>
  <c r="O19"/>
  <c r="AH18"/>
  <c r="AC18"/>
  <c r="AA18"/>
  <c r="W18"/>
  <c r="S18"/>
  <c r="T18" s="1"/>
  <c r="U18" s="1"/>
  <c r="V18" s="1"/>
  <c r="R18"/>
  <c r="O18"/>
  <c r="AH17"/>
  <c r="Q17"/>
  <c r="P17"/>
  <c r="O17"/>
  <c r="AH16"/>
  <c r="AC16"/>
  <c r="AA16"/>
  <c r="W16"/>
  <c r="S16"/>
  <c r="T16" s="1"/>
  <c r="U16" s="1"/>
  <c r="V16" s="1"/>
  <c r="R16"/>
  <c r="O16"/>
  <c r="AH15"/>
  <c r="AC15"/>
  <c r="AA15"/>
  <c r="W15"/>
  <c r="S15"/>
  <c r="T15" s="1"/>
  <c r="U15" s="1"/>
  <c r="V15" s="1"/>
  <c r="R15"/>
  <c r="O15"/>
  <c r="AH14"/>
  <c r="AC14"/>
  <c r="AA14"/>
  <c r="W14"/>
  <c r="S14"/>
  <c r="T14" s="1"/>
  <c r="U14" s="1"/>
  <c r="V14" s="1"/>
  <c r="R14"/>
  <c r="O14"/>
  <c r="AH13"/>
  <c r="AC13"/>
  <c r="AA13"/>
  <c r="W13"/>
  <c r="S13"/>
  <c r="T13" s="1"/>
  <c r="U13" s="1"/>
  <c r="V13" s="1"/>
  <c r="R13"/>
  <c r="O13"/>
  <c r="AH12"/>
  <c r="AC12"/>
  <c r="AA12"/>
  <c r="W12"/>
  <c r="S12"/>
  <c r="T12" s="1"/>
  <c r="U12" s="1"/>
  <c r="V12" s="1"/>
  <c r="R12"/>
  <c r="O12"/>
  <c r="AH11"/>
  <c r="M11"/>
  <c r="Q11" s="1"/>
  <c r="N11"/>
  <c r="P11" s="1"/>
  <c r="AH10"/>
  <c r="AC10"/>
  <c r="AA10"/>
  <c r="W10"/>
  <c r="S10"/>
  <c r="T10" s="1"/>
  <c r="U10" s="1"/>
  <c r="V10" s="1"/>
  <c r="R10"/>
  <c r="O10"/>
  <c r="AH9"/>
  <c r="AC9"/>
  <c r="AA9"/>
  <c r="W9"/>
  <c r="S9"/>
  <c r="T9" s="1"/>
  <c r="U9" s="1"/>
  <c r="V9" s="1"/>
  <c r="R9"/>
  <c r="O9"/>
  <c r="AH8"/>
  <c r="AC8"/>
  <c r="AA8"/>
  <c r="W8"/>
  <c r="S8"/>
  <c r="T8" s="1"/>
  <c r="U8" s="1"/>
  <c r="V8" s="1"/>
  <c r="R8"/>
  <c r="O8"/>
  <c r="AH7"/>
  <c r="M7"/>
  <c r="Q7" s="1"/>
  <c r="N7"/>
  <c r="P7" s="1"/>
  <c r="AH6"/>
  <c r="AC6"/>
  <c r="AA6"/>
  <c r="W6"/>
  <c r="S6"/>
  <c r="T6" s="1"/>
  <c r="U6" s="1"/>
  <c r="V6" s="1"/>
  <c r="R6"/>
  <c r="O6"/>
  <c r="AH5"/>
  <c r="AC5"/>
  <c r="AA5"/>
  <c r="W5"/>
  <c r="S5"/>
  <c r="T5" s="1"/>
  <c r="U5" s="1"/>
  <c r="V5" s="1"/>
  <c r="R5"/>
  <c r="O5"/>
  <c r="AH4"/>
  <c r="AC4"/>
  <c r="AA4"/>
  <c r="W4"/>
  <c r="S4"/>
  <c r="R4"/>
  <c r="O4"/>
  <c r="N27" i="3"/>
  <c r="M27"/>
  <c r="E86" i="24" s="1"/>
  <c r="P25" i="3"/>
  <c r="Q25" s="1"/>
  <c r="R25" s="1"/>
  <c r="S25" s="1"/>
  <c r="H25"/>
  <c r="P24"/>
  <c r="Q24" s="1"/>
  <c r="R24" s="1"/>
  <c r="S24" s="1"/>
  <c r="H23"/>
  <c r="H22"/>
  <c r="M21"/>
  <c r="L21"/>
  <c r="X20"/>
  <c r="L20"/>
  <c r="N19"/>
  <c r="M19"/>
  <c r="P19" s="1"/>
  <c r="Q19" s="1"/>
  <c r="R19" s="1"/>
  <c r="S19" s="1"/>
  <c r="L19"/>
  <c r="Q18"/>
  <c r="R18" s="1"/>
  <c r="S18" s="1"/>
  <c r="N18"/>
  <c r="M18"/>
  <c r="L18"/>
  <c r="M17"/>
  <c r="L17"/>
  <c r="M16"/>
  <c r="L16"/>
  <c r="M15"/>
  <c r="L15"/>
  <c r="Q14"/>
  <c r="R14" s="1"/>
  <c r="S14" s="1"/>
  <c r="N14"/>
  <c r="M14"/>
  <c r="L14"/>
  <c r="Q13"/>
  <c r="R13" s="1"/>
  <c r="S13" s="1"/>
  <c r="N13"/>
  <c r="M13"/>
  <c r="L13"/>
  <c r="Q12"/>
  <c r="R12" s="1"/>
  <c r="S12" s="1"/>
  <c r="N12"/>
  <c r="M12"/>
  <c r="L12"/>
  <c r="Q11"/>
  <c r="R11" s="1"/>
  <c r="S11" s="1"/>
  <c r="N11"/>
  <c r="M11"/>
  <c r="L11"/>
  <c r="Q10"/>
  <c r="R10" s="1"/>
  <c r="S10" s="1"/>
  <c r="O10"/>
  <c r="L10"/>
  <c r="Q9"/>
  <c r="R9" s="1"/>
  <c r="S9" s="1"/>
  <c r="O9"/>
  <c r="L9"/>
  <c r="Q8"/>
  <c r="R8" s="1"/>
  <c r="S8" s="1"/>
  <c r="O8"/>
  <c r="L8"/>
  <c r="Q7"/>
  <c r="R7" s="1"/>
  <c r="S7" s="1"/>
  <c r="N7"/>
  <c r="M7"/>
  <c r="J7"/>
  <c r="K7"/>
  <c r="Q6"/>
  <c r="R6" s="1"/>
  <c r="S6" s="1"/>
  <c r="O6"/>
  <c r="L6"/>
  <c r="Q5"/>
  <c r="R5" s="1"/>
  <c r="S5" s="1"/>
  <c r="O5"/>
  <c r="L5"/>
  <c r="Q4"/>
  <c r="R4" s="1"/>
  <c r="S4" s="1"/>
  <c r="N4"/>
  <c r="M4"/>
  <c r="J4"/>
  <c r="K4"/>
  <c r="AS47" i="2"/>
  <c r="AQ47"/>
  <c r="C13" i="23" s="1"/>
  <c r="AO47" i="2"/>
  <c r="C12" i="23" s="1"/>
  <c r="AM47" i="2"/>
  <c r="AK47"/>
  <c r="C10" i="23" s="1"/>
  <c r="AI47" i="2"/>
  <c r="C9" i="23" s="1"/>
  <c r="AG47" i="2"/>
  <c r="C8" i="23" s="1"/>
  <c r="S42" i="2"/>
  <c r="S43" s="1"/>
  <c r="R42"/>
  <c r="R43" s="1"/>
  <c r="E85" i="24" s="1"/>
  <c r="AD37" i="2"/>
  <c r="Q37"/>
  <c r="AG36"/>
  <c r="AT36" s="1"/>
  <c r="V36"/>
  <c r="W36" s="1"/>
  <c r="X36" s="1"/>
  <c r="S36"/>
  <c r="AD36" s="1"/>
  <c r="R36"/>
  <c r="Q36"/>
  <c r="S35"/>
  <c r="AD35" s="1"/>
  <c r="R35"/>
  <c r="AO35" s="1"/>
  <c r="Q35"/>
  <c r="AS34"/>
  <c r="AQ34"/>
  <c r="AO34"/>
  <c r="AM34"/>
  <c r="AK34"/>
  <c r="AI34"/>
  <c r="AD34"/>
  <c r="V34"/>
  <c r="W34" s="1"/>
  <c r="X34" s="1"/>
  <c r="AS33"/>
  <c r="AQ33"/>
  <c r="AO33"/>
  <c r="AM33"/>
  <c r="AK33"/>
  <c r="AI33"/>
  <c r="AD33"/>
  <c r="U33"/>
  <c r="V33" s="1"/>
  <c r="W33" s="1"/>
  <c r="X33" s="1"/>
  <c r="T33"/>
  <c r="AS32"/>
  <c r="AQ32"/>
  <c r="AO32"/>
  <c r="AM32"/>
  <c r="AK32"/>
  <c r="AI32"/>
  <c r="AD32"/>
  <c r="V32"/>
  <c r="W32" s="1"/>
  <c r="X32" s="1"/>
  <c r="AS31"/>
  <c r="AQ31"/>
  <c r="AO31"/>
  <c r="AM31"/>
  <c r="AK31"/>
  <c r="AI31"/>
  <c r="AD31"/>
  <c r="U31"/>
  <c r="V31" s="1"/>
  <c r="W31" s="1"/>
  <c r="X31" s="1"/>
  <c r="T31"/>
  <c r="S30"/>
  <c r="AD30" s="1"/>
  <c r="R30"/>
  <c r="AM30" s="1"/>
  <c r="Q30"/>
  <c r="S29"/>
  <c r="AD29" s="1"/>
  <c r="R29"/>
  <c r="AK29" s="1"/>
  <c r="Q29"/>
  <c r="S28"/>
  <c r="AD28" s="1"/>
  <c r="R28"/>
  <c r="AQ28" s="1"/>
  <c r="Q28"/>
  <c r="S27"/>
  <c r="AD27" s="1"/>
  <c r="R27"/>
  <c r="AO27" s="1"/>
  <c r="Q27"/>
  <c r="AT26"/>
  <c r="AD26"/>
  <c r="U26"/>
  <c r="V26" s="1"/>
  <c r="W26" s="1"/>
  <c r="X26" s="1"/>
  <c r="T26"/>
  <c r="AT25"/>
  <c r="AD25"/>
  <c r="U25"/>
  <c r="V25" s="1"/>
  <c r="W25" s="1"/>
  <c r="X25" s="1"/>
  <c r="T25"/>
  <c r="AT24"/>
  <c r="AD24"/>
  <c r="V24"/>
  <c r="W24" s="1"/>
  <c r="X24" s="1"/>
  <c r="S23"/>
  <c r="AD23" s="1"/>
  <c r="R23"/>
  <c r="AK23" s="1"/>
  <c r="Q23"/>
  <c r="AT22"/>
  <c r="S22"/>
  <c r="AD22" s="1"/>
  <c r="R22"/>
  <c r="U22" s="1"/>
  <c r="V22" s="1"/>
  <c r="W22" s="1"/>
  <c r="X22" s="1"/>
  <c r="Q22"/>
  <c r="AT21"/>
  <c r="AD21"/>
  <c r="U21"/>
  <c r="V21" s="1"/>
  <c r="W21" s="1"/>
  <c r="X21" s="1"/>
  <c r="T21"/>
  <c r="Q21"/>
  <c r="AT20"/>
  <c r="AD20"/>
  <c r="U20"/>
  <c r="V20" s="1"/>
  <c r="W20" s="1"/>
  <c r="X20" s="1"/>
  <c r="T20"/>
  <c r="Q20"/>
  <c r="AT19"/>
  <c r="V19"/>
  <c r="W19" s="1"/>
  <c r="X19" s="1"/>
  <c r="T19"/>
  <c r="S19"/>
  <c r="AD19" s="1"/>
  <c r="R19"/>
  <c r="J19"/>
  <c r="K19"/>
  <c r="AT18"/>
  <c r="AD18"/>
  <c r="U18"/>
  <c r="V18" s="1"/>
  <c r="W18" s="1"/>
  <c r="X18" s="1"/>
  <c r="T18"/>
  <c r="Q18"/>
  <c r="AT17"/>
  <c r="AD17"/>
  <c r="U17"/>
  <c r="V17" s="1"/>
  <c r="W17" s="1"/>
  <c r="X17" s="1"/>
  <c r="T17"/>
  <c r="Q17"/>
  <c r="J16"/>
  <c r="S16" s="1"/>
  <c r="K16"/>
  <c r="AT15"/>
  <c r="AD15"/>
  <c r="Q15"/>
  <c r="V14"/>
  <c r="W14" s="1"/>
  <c r="X14" s="1"/>
  <c r="R14"/>
  <c r="AT13"/>
  <c r="AD13"/>
  <c r="U13"/>
  <c r="V13" s="1"/>
  <c r="W13" s="1"/>
  <c r="X13" s="1"/>
  <c r="T13"/>
  <c r="Q13"/>
  <c r="AT12"/>
  <c r="AD12"/>
  <c r="U12"/>
  <c r="V12" s="1"/>
  <c r="W12" s="1"/>
  <c r="X12" s="1"/>
  <c r="T12"/>
  <c r="AT11"/>
  <c r="U11"/>
  <c r="V11" s="1"/>
  <c r="W11" s="1"/>
  <c r="X11" s="1"/>
  <c r="T11"/>
  <c r="S11"/>
  <c r="R11"/>
  <c r="AT10"/>
  <c r="AD10"/>
  <c r="U10"/>
  <c r="V10" s="1"/>
  <c r="W10" s="1"/>
  <c r="X10" s="1"/>
  <c r="T10"/>
  <c r="Q10"/>
  <c r="AT9"/>
  <c r="AD9"/>
  <c r="U9"/>
  <c r="V9" s="1"/>
  <c r="W9" s="1"/>
  <c r="X9" s="1"/>
  <c r="T9"/>
  <c r="Q9"/>
  <c r="J8"/>
  <c r="S8" s="1"/>
  <c r="AD8" s="1"/>
  <c r="K8"/>
  <c r="R8" s="1"/>
  <c r="AT7"/>
  <c r="AD7"/>
  <c r="U7"/>
  <c r="V7" s="1"/>
  <c r="W7" s="1"/>
  <c r="X7" s="1"/>
  <c r="T7"/>
  <c r="Q7"/>
  <c r="AT6"/>
  <c r="AD6"/>
  <c r="U6"/>
  <c r="V6" s="1"/>
  <c r="W6" s="1"/>
  <c r="X6" s="1"/>
  <c r="T6"/>
  <c r="AT5"/>
  <c r="AD5"/>
  <c r="U5"/>
  <c r="V5" s="1"/>
  <c r="W5" s="1"/>
  <c r="X5" s="1"/>
  <c r="T5"/>
  <c r="Q5"/>
  <c r="AT4"/>
  <c r="U4"/>
  <c r="V4" s="1"/>
  <c r="W4" s="1"/>
  <c r="X4" s="1"/>
  <c r="T4"/>
  <c r="S4"/>
  <c r="R4"/>
  <c r="O64" i="20"/>
  <c r="P64" s="1"/>
  <c r="Q64" s="1"/>
  <c r="R64" s="1"/>
  <c r="CS59"/>
  <c r="CQ59"/>
  <c r="CO59"/>
  <c r="CM59"/>
  <c r="CK59"/>
  <c r="CI59"/>
  <c r="CG59"/>
  <c r="E7" i="23" s="1"/>
  <c r="CE59" i="20"/>
  <c r="E6" i="23" s="1"/>
  <c r="M59" i="20"/>
  <c r="BZ56"/>
  <c r="BT56"/>
  <c r="BN56"/>
  <c r="BH56"/>
  <c r="BB56"/>
  <c r="AV56"/>
  <c r="AP56"/>
  <c r="AJ56"/>
  <c r="AD56"/>
  <c r="X56"/>
  <c r="L56"/>
  <c r="J56"/>
  <c r="BZ55"/>
  <c r="BT55"/>
  <c r="BN55"/>
  <c r="BH55"/>
  <c r="BB55"/>
  <c r="AV55"/>
  <c r="AP55"/>
  <c r="AJ55"/>
  <c r="AD55"/>
  <c r="X55"/>
  <c r="L55"/>
  <c r="J55"/>
  <c r="BZ54"/>
  <c r="BT54"/>
  <c r="BN54"/>
  <c r="BH54"/>
  <c r="BB54"/>
  <c r="AV54"/>
  <c r="AP54"/>
  <c r="AJ54"/>
  <c r="AD54"/>
  <c r="X54"/>
  <c r="L54"/>
  <c r="J54"/>
  <c r="CK53"/>
  <c r="BZ53"/>
  <c r="BY53"/>
  <c r="BY62" s="1"/>
  <c r="R67" i="24" s="1"/>
  <c r="BW53" i="20"/>
  <c r="BW62" s="1"/>
  <c r="BW63" s="1"/>
  <c r="BT53"/>
  <c r="BS53"/>
  <c r="BS62" s="1"/>
  <c r="BQ53"/>
  <c r="BQ62" s="1"/>
  <c r="BQ63" s="1"/>
  <c r="BN53"/>
  <c r="BM53"/>
  <c r="BM62" s="1"/>
  <c r="BK53"/>
  <c r="BK62" s="1"/>
  <c r="BK63" s="1"/>
  <c r="BH53"/>
  <c r="BG53"/>
  <c r="BG62" s="1"/>
  <c r="BE53"/>
  <c r="BE62" s="1"/>
  <c r="BE63" s="1"/>
  <c r="BB53"/>
  <c r="BA53"/>
  <c r="BA62" s="1"/>
  <c r="AY53"/>
  <c r="AY62" s="1"/>
  <c r="AY63" s="1"/>
  <c r="AV53"/>
  <c r="AU53"/>
  <c r="AU62" s="1"/>
  <c r="AS53"/>
  <c r="AS62" s="1"/>
  <c r="AS63" s="1"/>
  <c r="AP53"/>
  <c r="AO53"/>
  <c r="AO62" s="1"/>
  <c r="AM53"/>
  <c r="AM62" s="1"/>
  <c r="AM63" s="1"/>
  <c r="AJ53"/>
  <c r="AI53"/>
  <c r="AI62" s="1"/>
  <c r="AG53"/>
  <c r="AG62" s="1"/>
  <c r="AG63" s="1"/>
  <c r="AD53"/>
  <c r="AC53"/>
  <c r="AC62" s="1"/>
  <c r="AA53"/>
  <c r="AA62" s="1"/>
  <c r="AA63" s="1"/>
  <c r="X53"/>
  <c r="W53"/>
  <c r="W62" s="1"/>
  <c r="U53"/>
  <c r="U62" s="1"/>
  <c r="U63" s="1"/>
  <c r="O53"/>
  <c r="P53" s="1"/>
  <c r="Q53" s="1"/>
  <c r="R53" s="1"/>
  <c r="N53"/>
  <c r="L53"/>
  <c r="J53"/>
  <c r="BZ52"/>
  <c r="BY52"/>
  <c r="N80" i="25" s="1"/>
  <c r="BW52" i="20"/>
  <c r="BT52"/>
  <c r="BS52"/>
  <c r="M80" i="25" s="1"/>
  <c r="BQ52" i="20"/>
  <c r="BN52"/>
  <c r="BM52"/>
  <c r="L80" i="25" s="1"/>
  <c r="BK52" i="20"/>
  <c r="BH52"/>
  <c r="BG52"/>
  <c r="K80" i="25" s="1"/>
  <c r="BE52" i="20"/>
  <c r="BB52"/>
  <c r="BA52"/>
  <c r="J80" i="25" s="1"/>
  <c r="AY52" i="20"/>
  <c r="AV52"/>
  <c r="AU52"/>
  <c r="I80" i="25" s="1"/>
  <c r="AS52" i="20"/>
  <c r="AP52"/>
  <c r="AO52"/>
  <c r="H80" i="25" s="1"/>
  <c r="AM52" i="20"/>
  <c r="AJ52"/>
  <c r="AI52"/>
  <c r="G80" i="25" s="1"/>
  <c r="AG52" i="20"/>
  <c r="AD52"/>
  <c r="AC52"/>
  <c r="F80" i="25" s="1"/>
  <c r="AA52" i="20"/>
  <c r="X52"/>
  <c r="W52"/>
  <c r="E80" i="25" s="1"/>
  <c r="U52" i="20"/>
  <c r="CI51"/>
  <c r="CG51"/>
  <c r="CE51"/>
  <c r="BZ51"/>
  <c r="BT51"/>
  <c r="BN51"/>
  <c r="BH51"/>
  <c r="BB51"/>
  <c r="AV51"/>
  <c r="AP51"/>
  <c r="AJ51"/>
  <c r="AD51"/>
  <c r="X51"/>
  <c r="O51"/>
  <c r="P51" s="1"/>
  <c r="Q51" s="1"/>
  <c r="R51" s="1"/>
  <c r="N51"/>
  <c r="L51"/>
  <c r="J51"/>
  <c r="BZ50"/>
  <c r="BY50"/>
  <c r="N79" i="25" s="1"/>
  <c r="BW50" i="20"/>
  <c r="BT50"/>
  <c r="BS50"/>
  <c r="M79" i="25" s="1"/>
  <c r="BQ50" i="20"/>
  <c r="BN50"/>
  <c r="BM50"/>
  <c r="L79" i="25" s="1"/>
  <c r="BK50" i="20"/>
  <c r="BH50"/>
  <c r="BG50"/>
  <c r="K79" i="25" s="1"/>
  <c r="BE50" i="20"/>
  <c r="BB50"/>
  <c r="BA50"/>
  <c r="J79" i="25" s="1"/>
  <c r="AY50" i="20"/>
  <c r="AV50"/>
  <c r="AU50"/>
  <c r="I79" i="25" s="1"/>
  <c r="AS50" i="20"/>
  <c r="AP50"/>
  <c r="AO50"/>
  <c r="H79" i="25" s="1"/>
  <c r="AM50" i="20"/>
  <c r="AJ50"/>
  <c r="AI50"/>
  <c r="G79" i="25" s="1"/>
  <c r="AG50" i="20"/>
  <c r="AD50"/>
  <c r="AC50"/>
  <c r="F79" i="25" s="1"/>
  <c r="AA50" i="20"/>
  <c r="X50"/>
  <c r="W50"/>
  <c r="E79" i="25" s="1"/>
  <c r="U50" i="20"/>
  <c r="L50"/>
  <c r="J50"/>
  <c r="CG49"/>
  <c r="CE49"/>
  <c r="BZ49"/>
  <c r="BY49"/>
  <c r="BT49"/>
  <c r="BS49"/>
  <c r="BN49"/>
  <c r="BM49"/>
  <c r="BH49"/>
  <c r="BG49"/>
  <c r="BB49"/>
  <c r="BA49"/>
  <c r="AV49"/>
  <c r="AU49"/>
  <c r="AP49"/>
  <c r="AO49"/>
  <c r="AJ49"/>
  <c r="AI49"/>
  <c r="AD49"/>
  <c r="AC49"/>
  <c r="X49"/>
  <c r="W49"/>
  <c r="N49"/>
  <c r="L49"/>
  <c r="J49"/>
  <c r="BZ48"/>
  <c r="BY48"/>
  <c r="N77" i="25" s="1"/>
  <c r="BW48" i="20"/>
  <c r="BT48"/>
  <c r="BS48"/>
  <c r="M77" i="25" s="1"/>
  <c r="BQ48" i="20"/>
  <c r="BN48"/>
  <c r="BM48"/>
  <c r="L77" i="25" s="1"/>
  <c r="BK48" i="20"/>
  <c r="BH48"/>
  <c r="BG48"/>
  <c r="K77" i="25" s="1"/>
  <c r="BE48" i="20"/>
  <c r="BB48"/>
  <c r="BA48"/>
  <c r="J77" i="25" s="1"/>
  <c r="AY48" i="20"/>
  <c r="AV48"/>
  <c r="AU48"/>
  <c r="I77" i="25" s="1"/>
  <c r="AS48" i="20"/>
  <c r="AP48"/>
  <c r="AO48"/>
  <c r="H77" i="25" s="1"/>
  <c r="AM48" i="20"/>
  <c r="AJ48"/>
  <c r="AI48"/>
  <c r="G77" i="25" s="1"/>
  <c r="AG48" i="20"/>
  <c r="AD48"/>
  <c r="AC48"/>
  <c r="F77" i="25" s="1"/>
  <c r="AA48" i="20"/>
  <c r="X48"/>
  <c r="W48"/>
  <c r="E77" i="25" s="1"/>
  <c r="U48" i="20"/>
  <c r="L48"/>
  <c r="H97" i="26" s="1"/>
  <c r="J48" i="20"/>
  <c r="CG47"/>
  <c r="CE47"/>
  <c r="BZ47"/>
  <c r="BT47"/>
  <c r="BN47"/>
  <c r="BH47"/>
  <c r="BB47"/>
  <c r="AV47"/>
  <c r="AP47"/>
  <c r="AJ47"/>
  <c r="AD47"/>
  <c r="X47"/>
  <c r="O47"/>
  <c r="P47" s="1"/>
  <c r="Q47" s="1"/>
  <c r="R47" s="1"/>
  <c r="N47"/>
  <c r="L47"/>
  <c r="J47"/>
  <c r="BZ46"/>
  <c r="BY46"/>
  <c r="BW46"/>
  <c r="BT46"/>
  <c r="BS46"/>
  <c r="BQ46"/>
  <c r="BN46"/>
  <c r="BM46"/>
  <c r="BK46"/>
  <c r="BH46"/>
  <c r="BG46"/>
  <c r="BE46"/>
  <c r="BB46"/>
  <c r="BA46"/>
  <c r="AY46"/>
  <c r="AV46"/>
  <c r="AU46"/>
  <c r="AS46"/>
  <c r="AP46"/>
  <c r="AO46"/>
  <c r="AM46"/>
  <c r="AJ46"/>
  <c r="AI46"/>
  <c r="AG46"/>
  <c r="AD46"/>
  <c r="AC46"/>
  <c r="AA46"/>
  <c r="X46"/>
  <c r="W46"/>
  <c r="U46"/>
  <c r="L46"/>
  <c r="J46"/>
  <c r="CG45"/>
  <c r="CE45"/>
  <c r="BZ45"/>
  <c r="BT45"/>
  <c r="BN45"/>
  <c r="BH45"/>
  <c r="BB45"/>
  <c r="AV45"/>
  <c r="AP45"/>
  <c r="AJ45"/>
  <c r="AD45"/>
  <c r="X45"/>
  <c r="O45"/>
  <c r="P45" s="1"/>
  <c r="Q45" s="1"/>
  <c r="R45" s="1"/>
  <c r="N45"/>
  <c r="L45"/>
  <c r="J45"/>
  <c r="CG44"/>
  <c r="CE44"/>
  <c r="BZ44"/>
  <c r="BT44"/>
  <c r="BN44"/>
  <c r="BH44"/>
  <c r="BB44"/>
  <c r="AV44"/>
  <c r="AP44"/>
  <c r="AJ44"/>
  <c r="AD44"/>
  <c r="X44"/>
  <c r="O44"/>
  <c r="P44" s="1"/>
  <c r="Q44" s="1"/>
  <c r="R44" s="1"/>
  <c r="N44"/>
  <c r="J44"/>
  <c r="BX43"/>
  <c r="BY43" s="1"/>
  <c r="N73" i="25" s="1"/>
  <c r="BV43" i="20"/>
  <c r="BR43"/>
  <c r="BS43" s="1"/>
  <c r="M73" i="25" s="1"/>
  <c r="BP43" i="20"/>
  <c r="BL43"/>
  <c r="BM43" s="1"/>
  <c r="L73" i="25" s="1"/>
  <c r="BJ43" i="20"/>
  <c r="BF43"/>
  <c r="BG43" s="1"/>
  <c r="K73" i="25" s="1"/>
  <c r="BD43" i="20"/>
  <c r="BE43" s="1"/>
  <c r="AZ43"/>
  <c r="BA43" s="1"/>
  <c r="J73" i="25" s="1"/>
  <c r="AX43" i="20"/>
  <c r="AT43"/>
  <c r="AU43" s="1"/>
  <c r="I73" i="25" s="1"/>
  <c r="AR43" i="20"/>
  <c r="AN43"/>
  <c r="AO43" s="1"/>
  <c r="H73" i="25" s="1"/>
  <c r="AL43" i="20"/>
  <c r="AH43"/>
  <c r="AI43" s="1"/>
  <c r="G73" i="25" s="1"/>
  <c r="AF43" i="20"/>
  <c r="AG43" s="1"/>
  <c r="AB43"/>
  <c r="AC43" s="1"/>
  <c r="F73" i="25" s="1"/>
  <c r="Z43" i="20"/>
  <c r="V43"/>
  <c r="W43" s="1"/>
  <c r="E73" i="25" s="1"/>
  <c r="T43" i="20"/>
  <c r="CG42"/>
  <c r="CE42"/>
  <c r="BZ42"/>
  <c r="BT42"/>
  <c r="BN42"/>
  <c r="BH42"/>
  <c r="BB42"/>
  <c r="AV42"/>
  <c r="AP42"/>
  <c r="AJ42"/>
  <c r="AD42"/>
  <c r="X42"/>
  <c r="O42"/>
  <c r="P42" s="1"/>
  <c r="Q42" s="1"/>
  <c r="R42" s="1"/>
  <c r="N42"/>
  <c r="L42"/>
  <c r="J42"/>
  <c r="CG41"/>
  <c r="CE41"/>
  <c r="BZ41"/>
  <c r="BT41"/>
  <c r="BN41"/>
  <c r="BH41"/>
  <c r="BB41"/>
  <c r="AV41"/>
  <c r="AP41"/>
  <c r="AJ41"/>
  <c r="AD41"/>
  <c r="X41"/>
  <c r="O41"/>
  <c r="P41" s="1"/>
  <c r="Q41" s="1"/>
  <c r="R41" s="1"/>
  <c r="N41"/>
  <c r="L41"/>
  <c r="J41"/>
  <c r="BX40"/>
  <c r="BV40"/>
  <c r="BR40"/>
  <c r="BS40" s="1"/>
  <c r="M72" i="25" s="1"/>
  <c r="BP40" i="20"/>
  <c r="BQ40" s="1"/>
  <c r="BL40"/>
  <c r="BM40" s="1"/>
  <c r="L72" i="25" s="1"/>
  <c r="BJ40" i="20"/>
  <c r="BK40" s="1"/>
  <c r="BF40"/>
  <c r="BG40" s="1"/>
  <c r="K72" i="25" s="1"/>
  <c r="BD40" i="20"/>
  <c r="BE40" s="1"/>
  <c r="AZ40"/>
  <c r="BA40" s="1"/>
  <c r="J72" i="25" s="1"/>
  <c r="AX40" i="20"/>
  <c r="AT40"/>
  <c r="AU40" s="1"/>
  <c r="I72" i="25" s="1"/>
  <c r="AR40" i="20"/>
  <c r="AS40" s="1"/>
  <c r="AN40"/>
  <c r="AO40" s="1"/>
  <c r="H72" i="25" s="1"/>
  <c r="AL40" i="20"/>
  <c r="AM40" s="1"/>
  <c r="AH40"/>
  <c r="AI40" s="1"/>
  <c r="G72" i="25" s="1"/>
  <c r="AF40" i="20"/>
  <c r="AG40" s="1"/>
  <c r="AB40"/>
  <c r="AC40" s="1"/>
  <c r="F72" i="25" s="1"/>
  <c r="Z40" i="20"/>
  <c r="V40"/>
  <c r="W40" s="1"/>
  <c r="E72" i="25" s="1"/>
  <c r="T40" i="20"/>
  <c r="U40" s="1"/>
  <c r="CG39"/>
  <c r="CE39"/>
  <c r="BZ39"/>
  <c r="BT39"/>
  <c r="BN39"/>
  <c r="BH39"/>
  <c r="BB39"/>
  <c r="AV39"/>
  <c r="AP39"/>
  <c r="AJ39"/>
  <c r="AD39"/>
  <c r="X39"/>
  <c r="O39"/>
  <c r="P39" s="1"/>
  <c r="Q39" s="1"/>
  <c r="R39" s="1"/>
  <c r="N39"/>
  <c r="L39"/>
  <c r="H91" i="26" s="1"/>
  <c r="J39" i="20"/>
  <c r="BZ38"/>
  <c r="BY38"/>
  <c r="N71" i="25" s="1"/>
  <c r="BW38" i="20"/>
  <c r="BT38"/>
  <c r="BS38"/>
  <c r="M71" i="25" s="1"/>
  <c r="BQ38" i="20"/>
  <c r="BN38"/>
  <c r="BM38"/>
  <c r="L71" i="25" s="1"/>
  <c r="BK38" i="20"/>
  <c r="BH38"/>
  <c r="BG38"/>
  <c r="K71" i="25" s="1"/>
  <c r="BE38" i="20"/>
  <c r="BB38"/>
  <c r="BA38"/>
  <c r="J71" i="25" s="1"/>
  <c r="AY38" i="20"/>
  <c r="AV38"/>
  <c r="AU38"/>
  <c r="I71" i="25" s="1"/>
  <c r="AS38" i="20"/>
  <c r="AP38"/>
  <c r="AO38"/>
  <c r="H71" i="25" s="1"/>
  <c r="AM38" i="20"/>
  <c r="AJ38"/>
  <c r="AI38"/>
  <c r="G71" i="25" s="1"/>
  <c r="AG38" i="20"/>
  <c r="AD38"/>
  <c r="AC38"/>
  <c r="F71" i="25" s="1"/>
  <c r="AA38" i="20"/>
  <c r="X38"/>
  <c r="W38"/>
  <c r="E71" i="25" s="1"/>
  <c r="U38" i="20"/>
  <c r="L38"/>
  <c r="J38"/>
  <c r="BZ37"/>
  <c r="BY37"/>
  <c r="N69" i="25" s="1"/>
  <c r="BW37" i="20"/>
  <c r="BT37"/>
  <c r="BS37"/>
  <c r="M69" i="25" s="1"/>
  <c r="BQ37" i="20"/>
  <c r="BN37"/>
  <c r="BM37"/>
  <c r="L69" i="25" s="1"/>
  <c r="BK37" i="20"/>
  <c r="BH37"/>
  <c r="BG37"/>
  <c r="K69" i="25" s="1"/>
  <c r="BE37" i="20"/>
  <c r="BB37"/>
  <c r="BA37"/>
  <c r="J69" i="25" s="1"/>
  <c r="AY37" i="20"/>
  <c r="AV37"/>
  <c r="AU37"/>
  <c r="I69" i="25" s="1"/>
  <c r="AS37" i="20"/>
  <c r="AP37"/>
  <c r="AO37"/>
  <c r="H69" i="25" s="1"/>
  <c r="AM37" i="20"/>
  <c r="AJ37"/>
  <c r="AI37"/>
  <c r="G69" i="25" s="1"/>
  <c r="AG37" i="20"/>
  <c r="AD37"/>
  <c r="AC37"/>
  <c r="F69" i="25" s="1"/>
  <c r="AA37" i="20"/>
  <c r="X37"/>
  <c r="W37"/>
  <c r="E69" i="25" s="1"/>
  <c r="U37" i="20"/>
  <c r="CG36"/>
  <c r="CE36"/>
  <c r="BZ36"/>
  <c r="BT36"/>
  <c r="BN36"/>
  <c r="BH36"/>
  <c r="BB36"/>
  <c r="AV36"/>
  <c r="AP36"/>
  <c r="AJ36"/>
  <c r="AD36"/>
  <c r="X36"/>
  <c r="O36"/>
  <c r="P36" s="1"/>
  <c r="Q36" s="1"/>
  <c r="R36" s="1"/>
  <c r="N36"/>
  <c r="L36"/>
  <c r="G88" i="26" s="1"/>
  <c r="J36" i="20"/>
  <c r="BZ35"/>
  <c r="BY35"/>
  <c r="N68" i="25" s="1"/>
  <c r="BW35" i="20"/>
  <c r="BT35"/>
  <c r="BS35"/>
  <c r="M68" i="25" s="1"/>
  <c r="BQ35" i="20"/>
  <c r="BN35"/>
  <c r="BM35"/>
  <c r="L68" i="25" s="1"/>
  <c r="BK35" i="20"/>
  <c r="BH35"/>
  <c r="BG35"/>
  <c r="K68" i="25" s="1"/>
  <c r="BE35" i="20"/>
  <c r="BB35"/>
  <c r="BA35"/>
  <c r="J68" i="25" s="1"/>
  <c r="AY35" i="20"/>
  <c r="AV35"/>
  <c r="AU35"/>
  <c r="I68" i="25" s="1"/>
  <c r="AS35" i="20"/>
  <c r="AP35"/>
  <c r="AO35"/>
  <c r="H68" i="25" s="1"/>
  <c r="AM35" i="20"/>
  <c r="AJ35"/>
  <c r="AI35"/>
  <c r="G68" i="25" s="1"/>
  <c r="AG35" i="20"/>
  <c r="AD35"/>
  <c r="AC35"/>
  <c r="F68" i="25" s="1"/>
  <c r="AA35" i="20"/>
  <c r="X35"/>
  <c r="W35"/>
  <c r="E68" i="25" s="1"/>
  <c r="U35" i="20"/>
  <c r="L35"/>
  <c r="J35"/>
  <c r="CG34"/>
  <c r="CE34"/>
  <c r="BZ34"/>
  <c r="BT34"/>
  <c r="BN34"/>
  <c r="BH34"/>
  <c r="BB34"/>
  <c r="AV34"/>
  <c r="AP34"/>
  <c r="AJ34"/>
  <c r="AD34"/>
  <c r="X34"/>
  <c r="O34"/>
  <c r="P34" s="1"/>
  <c r="Q34" s="1"/>
  <c r="R34" s="1"/>
  <c r="N34"/>
  <c r="L34"/>
  <c r="J34"/>
  <c r="CG33"/>
  <c r="CE33"/>
  <c r="BZ33"/>
  <c r="BT33"/>
  <c r="BN33"/>
  <c r="BH33"/>
  <c r="BB33"/>
  <c r="AV33"/>
  <c r="AP33"/>
  <c r="AJ33"/>
  <c r="AD33"/>
  <c r="X33"/>
  <c r="O33"/>
  <c r="P33" s="1"/>
  <c r="Q33" s="1"/>
  <c r="R33" s="1"/>
  <c r="N33"/>
  <c r="L33"/>
  <c r="J33"/>
  <c r="BX32"/>
  <c r="BY32" s="1"/>
  <c r="N66" i="25" s="1"/>
  <c r="BV32" i="20"/>
  <c r="BL32"/>
  <c r="BJ32"/>
  <c r="BK32" s="1"/>
  <c r="BF32"/>
  <c r="BG32" s="1"/>
  <c r="K66" i="25" s="1"/>
  <c r="BD32" i="20"/>
  <c r="AZ32"/>
  <c r="BA32" s="1"/>
  <c r="J66" i="25" s="1"/>
  <c r="AX32" i="20"/>
  <c r="AY32" s="1"/>
  <c r="AT32"/>
  <c r="AU32" s="1"/>
  <c r="I66" i="25" s="1"/>
  <c r="AR32" i="20"/>
  <c r="AS32" s="1"/>
  <c r="AN32"/>
  <c r="AO32" s="1"/>
  <c r="H66" i="25" s="1"/>
  <c r="AL32" i="20"/>
  <c r="AM32" s="1"/>
  <c r="AH32"/>
  <c r="AF32"/>
  <c r="AB32"/>
  <c r="AC32" s="1"/>
  <c r="F66" i="25" s="1"/>
  <c r="Z32" i="20"/>
  <c r="AA32" s="1"/>
  <c r="V32"/>
  <c r="W32" s="1"/>
  <c r="E66" i="25" s="1"/>
  <c r="T32" i="20"/>
  <c r="U32" s="1"/>
  <c r="CG31"/>
  <c r="CE31"/>
  <c r="BZ31"/>
  <c r="BT31"/>
  <c r="BN31"/>
  <c r="BH31"/>
  <c r="BB31"/>
  <c r="AV31"/>
  <c r="AP31"/>
  <c r="AJ31"/>
  <c r="AD31"/>
  <c r="X31"/>
  <c r="O31"/>
  <c r="P31" s="1"/>
  <c r="Q31" s="1"/>
  <c r="R31" s="1"/>
  <c r="N31"/>
  <c r="L31"/>
  <c r="J31"/>
  <c r="CG30"/>
  <c r="CE30"/>
  <c r="BZ30"/>
  <c r="BT30"/>
  <c r="BN30"/>
  <c r="BH30"/>
  <c r="BB30"/>
  <c r="AV30"/>
  <c r="AP30"/>
  <c r="AJ30"/>
  <c r="AD30"/>
  <c r="X30"/>
  <c r="O30"/>
  <c r="P30" s="1"/>
  <c r="Q30" s="1"/>
  <c r="R30" s="1"/>
  <c r="N30"/>
  <c r="L30"/>
  <c r="J30"/>
  <c r="CG29"/>
  <c r="CE29"/>
  <c r="BZ29"/>
  <c r="BT29"/>
  <c r="BN29"/>
  <c r="BH29"/>
  <c r="BB29"/>
  <c r="AV29"/>
  <c r="AP29"/>
  <c r="AJ29"/>
  <c r="AD29"/>
  <c r="X29"/>
  <c r="O29"/>
  <c r="P29" s="1"/>
  <c r="Q29" s="1"/>
  <c r="R29" s="1"/>
  <c r="N29"/>
  <c r="L29"/>
  <c r="J29"/>
  <c r="BX28"/>
  <c r="BY28" s="1"/>
  <c r="N65" i="25" s="1"/>
  <c r="BV28" i="20"/>
  <c r="BR28"/>
  <c r="BS28" s="1"/>
  <c r="M65" i="25" s="1"/>
  <c r="BP28" i="20"/>
  <c r="BQ28" s="1"/>
  <c r="BL28"/>
  <c r="BM28" s="1"/>
  <c r="L65" i="25" s="1"/>
  <c r="BJ28" i="20"/>
  <c r="BF28"/>
  <c r="BG28" s="1"/>
  <c r="K65" i="25" s="1"/>
  <c r="BD28" i="20"/>
  <c r="BE28" s="1"/>
  <c r="AZ28"/>
  <c r="BA28" s="1"/>
  <c r="J65" i="25" s="1"/>
  <c r="AX28" i="20"/>
  <c r="AT28"/>
  <c r="AU28" s="1"/>
  <c r="I65" i="25" s="1"/>
  <c r="AR28" i="20"/>
  <c r="AS28" s="1"/>
  <c r="AN28"/>
  <c r="AO28" s="1"/>
  <c r="H65" i="25" s="1"/>
  <c r="AL28" i="20"/>
  <c r="AH28"/>
  <c r="AI28" s="1"/>
  <c r="G65" i="25" s="1"/>
  <c r="AF28" i="20"/>
  <c r="AG28" s="1"/>
  <c r="AB28"/>
  <c r="AC28" s="1"/>
  <c r="F65" i="25" s="1"/>
  <c r="Z28" i="20"/>
  <c r="V28"/>
  <c r="W28" s="1"/>
  <c r="E65" i="25" s="1"/>
  <c r="T28" i="20"/>
  <c r="U28" s="1"/>
  <c r="CG27"/>
  <c r="CE27"/>
  <c r="BZ27"/>
  <c r="BT27"/>
  <c r="BN27"/>
  <c r="BH27"/>
  <c r="BB27"/>
  <c r="AV27"/>
  <c r="AP27"/>
  <c r="AJ27"/>
  <c r="AD27"/>
  <c r="X27"/>
  <c r="O27"/>
  <c r="P27" s="1"/>
  <c r="Q27" s="1"/>
  <c r="R27" s="1"/>
  <c r="N27"/>
  <c r="L27"/>
  <c r="J27"/>
  <c r="CG26"/>
  <c r="CE26"/>
  <c r="BZ26"/>
  <c r="BT26"/>
  <c r="BN26"/>
  <c r="BH26"/>
  <c r="BB26"/>
  <c r="AV26"/>
  <c r="AP26"/>
  <c r="AJ26"/>
  <c r="AD26"/>
  <c r="X26"/>
  <c r="O26"/>
  <c r="P26" s="1"/>
  <c r="Q26" s="1"/>
  <c r="R26" s="1"/>
  <c r="N26"/>
  <c r="L26"/>
  <c r="J26"/>
  <c r="CG25"/>
  <c r="CE25"/>
  <c r="BZ25"/>
  <c r="BT25"/>
  <c r="BN25"/>
  <c r="BH25"/>
  <c r="BB25"/>
  <c r="AV25"/>
  <c r="AP25"/>
  <c r="AJ25"/>
  <c r="AD25"/>
  <c r="X25"/>
  <c r="O25"/>
  <c r="P25" s="1"/>
  <c r="Q25" s="1"/>
  <c r="R25" s="1"/>
  <c r="N25"/>
  <c r="L25"/>
  <c r="J25"/>
  <c r="CG24"/>
  <c r="CE24"/>
  <c r="BZ24"/>
  <c r="BT24"/>
  <c r="BN24"/>
  <c r="BH24"/>
  <c r="BB24"/>
  <c r="AV24"/>
  <c r="AP24"/>
  <c r="AJ24"/>
  <c r="AD24"/>
  <c r="X24"/>
  <c r="O24"/>
  <c r="P24" s="1"/>
  <c r="Q24" s="1"/>
  <c r="R24" s="1"/>
  <c r="N24"/>
  <c r="L24"/>
  <c r="J24"/>
  <c r="BX23"/>
  <c r="BY23" s="1"/>
  <c r="N64" i="25" s="1"/>
  <c r="BV23" i="20"/>
  <c r="BW23" s="1"/>
  <c r="BR23"/>
  <c r="BS23" s="1"/>
  <c r="M64" i="25" s="1"/>
  <c r="BP23" i="20"/>
  <c r="BQ23" s="1"/>
  <c r="BL23"/>
  <c r="BM23" s="1"/>
  <c r="L64" i="25" s="1"/>
  <c r="BJ23" i="20"/>
  <c r="BF23"/>
  <c r="BG23" s="1"/>
  <c r="K64" i="25" s="1"/>
  <c r="BD23" i="20"/>
  <c r="BE23" s="1"/>
  <c r="AZ23"/>
  <c r="BA23" s="1"/>
  <c r="J64" i="25" s="1"/>
  <c r="AX23" i="20"/>
  <c r="AY23" s="1"/>
  <c r="AT23"/>
  <c r="AU23" s="1"/>
  <c r="I64" i="25" s="1"/>
  <c r="AR23" i="20"/>
  <c r="AS23" s="1"/>
  <c r="AN23"/>
  <c r="AO23" s="1"/>
  <c r="H64" i="25" s="1"/>
  <c r="AL23" i="20"/>
  <c r="AH23"/>
  <c r="AI23" s="1"/>
  <c r="G64" i="25" s="1"/>
  <c r="AF23" i="20"/>
  <c r="AG23" s="1"/>
  <c r="AB23"/>
  <c r="AC23" s="1"/>
  <c r="F64" i="25" s="1"/>
  <c r="Z23" i="20"/>
  <c r="AA23" s="1"/>
  <c r="V23"/>
  <c r="W23" s="1"/>
  <c r="E64" i="25" s="1"/>
  <c r="T23" i="20"/>
  <c r="U23" s="1"/>
  <c r="CI22"/>
  <c r="BZ22"/>
  <c r="BY22"/>
  <c r="N63" i="25" s="1"/>
  <c r="BW22" i="20"/>
  <c r="BT22"/>
  <c r="BS22"/>
  <c r="M63" i="25" s="1"/>
  <c r="BQ22" i="20"/>
  <c r="BN22"/>
  <c r="BM22"/>
  <c r="L63" i="25" s="1"/>
  <c r="BK22" i="20"/>
  <c r="BH22"/>
  <c r="BG22"/>
  <c r="K63" i="25" s="1"/>
  <c r="BE22" i="20"/>
  <c r="BB22"/>
  <c r="BA22"/>
  <c r="J63" i="25" s="1"/>
  <c r="AY22" i="20"/>
  <c r="AV22"/>
  <c r="AU22"/>
  <c r="I63" i="25" s="1"/>
  <c r="AS22" i="20"/>
  <c r="AP22"/>
  <c r="AO22"/>
  <c r="H63" i="25" s="1"/>
  <c r="AM22" i="20"/>
  <c r="AJ22"/>
  <c r="AI22"/>
  <c r="G63" i="25" s="1"/>
  <c r="AG22" i="20"/>
  <c r="AD22"/>
  <c r="AC22"/>
  <c r="F63" i="25" s="1"/>
  <c r="AA22" i="20"/>
  <c r="X22"/>
  <c r="W22"/>
  <c r="E63" i="25" s="1"/>
  <c r="U22" i="20"/>
  <c r="CG21"/>
  <c r="CE21"/>
  <c r="BZ21"/>
  <c r="BT21"/>
  <c r="BN21"/>
  <c r="BH21"/>
  <c r="BB21"/>
  <c r="AV21"/>
  <c r="AP21"/>
  <c r="AJ21"/>
  <c r="AD21"/>
  <c r="X21"/>
  <c r="O21"/>
  <c r="P21" s="1"/>
  <c r="Q21" s="1"/>
  <c r="R21" s="1"/>
  <c r="N21"/>
  <c r="L21"/>
  <c r="J21"/>
  <c r="BZ20"/>
  <c r="BY20"/>
  <c r="N62" i="25" s="1"/>
  <c r="BW20" i="20"/>
  <c r="BT20"/>
  <c r="BS20"/>
  <c r="M62" i="25" s="1"/>
  <c r="BQ20" i="20"/>
  <c r="BN20"/>
  <c r="BM20"/>
  <c r="L62" i="25" s="1"/>
  <c r="BK20" i="20"/>
  <c r="BH20"/>
  <c r="BG20"/>
  <c r="K62" i="25" s="1"/>
  <c r="BE20" i="20"/>
  <c r="BB20"/>
  <c r="BA20"/>
  <c r="J62" i="25" s="1"/>
  <c r="AY20" i="20"/>
  <c r="AV20"/>
  <c r="AU20"/>
  <c r="I62" i="25" s="1"/>
  <c r="AS20" i="20"/>
  <c r="AP20"/>
  <c r="AO20"/>
  <c r="H62" i="25" s="1"/>
  <c r="AM20" i="20"/>
  <c r="AJ20"/>
  <c r="AI20"/>
  <c r="G62" i="25" s="1"/>
  <c r="AG20" i="20"/>
  <c r="AD20"/>
  <c r="AC20"/>
  <c r="F62" i="25" s="1"/>
  <c r="AA20" i="20"/>
  <c r="X20"/>
  <c r="W20"/>
  <c r="E62" i="25" s="1"/>
  <c r="U20" i="20"/>
  <c r="L20"/>
  <c r="J20"/>
  <c r="CG19"/>
  <c r="CE19"/>
  <c r="BZ19"/>
  <c r="BT19"/>
  <c r="BN19"/>
  <c r="BH19"/>
  <c r="BB19"/>
  <c r="AV19"/>
  <c r="AP19"/>
  <c r="AJ19"/>
  <c r="AD19"/>
  <c r="X19"/>
  <c r="O19"/>
  <c r="P19" s="1"/>
  <c r="Q19" s="1"/>
  <c r="R19" s="1"/>
  <c r="N19"/>
  <c r="CG18"/>
  <c r="CE18"/>
  <c r="BZ18"/>
  <c r="BT18"/>
  <c r="BN18"/>
  <c r="BH18"/>
  <c r="BB18"/>
  <c r="AV18"/>
  <c r="AP18"/>
  <c r="AJ18"/>
  <c r="AD18"/>
  <c r="X18"/>
  <c r="O18"/>
  <c r="P18" s="1"/>
  <c r="Q18" s="1"/>
  <c r="R18" s="1"/>
  <c r="N18"/>
  <c r="L18"/>
  <c r="J18"/>
  <c r="BZ17"/>
  <c r="BY17"/>
  <c r="N60" i="25" s="1"/>
  <c r="BT17" i="20"/>
  <c r="BS17"/>
  <c r="M60" i="25" s="1"/>
  <c r="BN17" i="20"/>
  <c r="BM17"/>
  <c r="L60" i="25" s="1"/>
  <c r="BH17" i="20"/>
  <c r="BG17"/>
  <c r="K60" i="25" s="1"/>
  <c r="BB17" i="20"/>
  <c r="BA17"/>
  <c r="J60" i="25" s="1"/>
  <c r="AV17" i="20"/>
  <c r="AU17"/>
  <c r="I60" i="25" s="1"/>
  <c r="AP17" i="20"/>
  <c r="AO17"/>
  <c r="H60" i="25" s="1"/>
  <c r="AJ17" i="20"/>
  <c r="AI17"/>
  <c r="G60" i="25" s="1"/>
  <c r="AG17" i="20"/>
  <c r="AD17"/>
  <c r="AC17"/>
  <c r="F60" i="25" s="1"/>
  <c r="X17" i="20"/>
  <c r="W17"/>
  <c r="E60" i="25" s="1"/>
  <c r="U17" i="20"/>
  <c r="L17"/>
  <c r="J17"/>
  <c r="BZ16"/>
  <c r="BT16"/>
  <c r="BN16"/>
  <c r="BH16"/>
  <c r="BB16"/>
  <c r="AV16"/>
  <c r="AP16"/>
  <c r="AJ16"/>
  <c r="AD16"/>
  <c r="X16"/>
  <c r="M16"/>
  <c r="K16"/>
  <c r="BZ15"/>
  <c r="BT15"/>
  <c r="BN15"/>
  <c r="BH15"/>
  <c r="BB15"/>
  <c r="AV15"/>
  <c r="AP15"/>
  <c r="AJ15"/>
  <c r="AD15"/>
  <c r="X15"/>
  <c r="M15"/>
  <c r="K15"/>
  <c r="CG14"/>
  <c r="CE14"/>
  <c r="BZ14"/>
  <c r="BT14"/>
  <c r="BN14"/>
  <c r="BH14"/>
  <c r="BB14"/>
  <c r="AV14"/>
  <c r="AP14"/>
  <c r="AJ14"/>
  <c r="AD14"/>
  <c r="X14"/>
  <c r="O14"/>
  <c r="P14" s="1"/>
  <c r="Q14" s="1"/>
  <c r="R14" s="1"/>
  <c r="N14"/>
  <c r="L14"/>
  <c r="J14"/>
  <c r="CG13"/>
  <c r="CE13"/>
  <c r="BZ13"/>
  <c r="BT13"/>
  <c r="BN13"/>
  <c r="BH13"/>
  <c r="BB13"/>
  <c r="AV13"/>
  <c r="AP13"/>
  <c r="AJ13"/>
  <c r="AD13"/>
  <c r="X13"/>
  <c r="O13"/>
  <c r="P13" s="1"/>
  <c r="Q13" s="1"/>
  <c r="R13" s="1"/>
  <c r="N13"/>
  <c r="L13"/>
  <c r="J13"/>
  <c r="BX12"/>
  <c r="BY12" s="1"/>
  <c r="N57" i="25" s="1"/>
  <c r="BV12" i="20"/>
  <c r="BW12" s="1"/>
  <c r="BR12"/>
  <c r="BS12" s="1"/>
  <c r="M57" i="25" s="1"/>
  <c r="BP12" i="20"/>
  <c r="BL12"/>
  <c r="BM12" s="1"/>
  <c r="L57" i="25" s="1"/>
  <c r="BJ12" i="20"/>
  <c r="BK12" s="1"/>
  <c r="BF12"/>
  <c r="BG12" s="1"/>
  <c r="K57" i="25" s="1"/>
  <c r="BD12" i="20"/>
  <c r="BE12" s="1"/>
  <c r="AZ12"/>
  <c r="BA12" s="1"/>
  <c r="J57" i="25" s="1"/>
  <c r="AX12" i="20"/>
  <c r="AY12" s="1"/>
  <c r="AT12"/>
  <c r="AU12" s="1"/>
  <c r="I57" i="25" s="1"/>
  <c r="AR12" i="20"/>
  <c r="AN12"/>
  <c r="AO12" s="1"/>
  <c r="H57" i="25" s="1"/>
  <c r="AL12" i="20"/>
  <c r="AM12" s="1"/>
  <c r="AH12"/>
  <c r="AI12" s="1"/>
  <c r="G57" i="25" s="1"/>
  <c r="AF12" i="20"/>
  <c r="AG12" s="1"/>
  <c r="AB12"/>
  <c r="AC12" s="1"/>
  <c r="F57" i="25" s="1"/>
  <c r="Z12" i="20"/>
  <c r="AA12" s="1"/>
  <c r="V12"/>
  <c r="W12" s="1"/>
  <c r="E57" i="25" s="1"/>
  <c r="T12" i="20"/>
  <c r="CG11"/>
  <c r="CE11"/>
  <c r="BZ11"/>
  <c r="BT11"/>
  <c r="BN11"/>
  <c r="BH11"/>
  <c r="BB11"/>
  <c r="AV11"/>
  <c r="AP11"/>
  <c r="AJ11"/>
  <c r="AD11"/>
  <c r="X11"/>
  <c r="O11"/>
  <c r="P11" s="1"/>
  <c r="Q11" s="1"/>
  <c r="R11" s="1"/>
  <c r="N11"/>
  <c r="L11"/>
  <c r="J11"/>
  <c r="CG10"/>
  <c r="CE10"/>
  <c r="BZ10"/>
  <c r="BT10"/>
  <c r="BN10"/>
  <c r="BH10"/>
  <c r="BB10"/>
  <c r="AV10"/>
  <c r="AP10"/>
  <c r="AJ10"/>
  <c r="AD10"/>
  <c r="X10"/>
  <c r="O10"/>
  <c r="P10" s="1"/>
  <c r="Q10" s="1"/>
  <c r="R10" s="1"/>
  <c r="N10"/>
  <c r="L10"/>
  <c r="J10"/>
  <c r="BX9"/>
  <c r="BV9"/>
  <c r="BR9"/>
  <c r="BS9" s="1"/>
  <c r="M56" i="25" s="1"/>
  <c r="BP9" i="20"/>
  <c r="BL9"/>
  <c r="BM9" s="1"/>
  <c r="L56" i="25" s="1"/>
  <c r="BJ9" i="20"/>
  <c r="BF9"/>
  <c r="BG9" s="1"/>
  <c r="K56" i="25" s="1"/>
  <c r="BD9" i="20"/>
  <c r="BE9" s="1"/>
  <c r="AZ9"/>
  <c r="BA9" s="1"/>
  <c r="J56" i="25" s="1"/>
  <c r="AX9" i="20"/>
  <c r="AT9"/>
  <c r="AU9" s="1"/>
  <c r="I56" i="25" s="1"/>
  <c r="AR9" i="20"/>
  <c r="AN9"/>
  <c r="AO9" s="1"/>
  <c r="H56" i="25" s="1"/>
  <c r="AL9" i="20"/>
  <c r="AH9"/>
  <c r="AI9" s="1"/>
  <c r="G56" i="25" s="1"/>
  <c r="AF9" i="20"/>
  <c r="AG9" s="1"/>
  <c r="AB9"/>
  <c r="AC9" s="1"/>
  <c r="F56" i="25" s="1"/>
  <c r="Z9" i="20"/>
  <c r="AA9" s="1"/>
  <c r="V9"/>
  <c r="W9" s="1"/>
  <c r="E56" i="25" s="1"/>
  <c r="T9" i="20"/>
  <c r="CG8"/>
  <c r="CE8"/>
  <c r="BZ8"/>
  <c r="BT8"/>
  <c r="BN8"/>
  <c r="BH8"/>
  <c r="BB8"/>
  <c r="AV8"/>
  <c r="AP8"/>
  <c r="AJ8"/>
  <c r="AD8"/>
  <c r="X8"/>
  <c r="O8"/>
  <c r="P8" s="1"/>
  <c r="Q8" s="1"/>
  <c r="R8" s="1"/>
  <c r="N8"/>
  <c r="L8"/>
  <c r="J8"/>
  <c r="CG7"/>
  <c r="CE7"/>
  <c r="BZ7"/>
  <c r="BT7"/>
  <c r="BN7"/>
  <c r="BH7"/>
  <c r="BB7"/>
  <c r="AV7"/>
  <c r="AP7"/>
  <c r="AJ7"/>
  <c r="AD7"/>
  <c r="X7"/>
  <c r="O7"/>
  <c r="P7" s="1"/>
  <c r="Q7" s="1"/>
  <c r="R7" s="1"/>
  <c r="N7"/>
  <c r="L7"/>
  <c r="J7"/>
  <c r="CG6"/>
  <c r="CE6"/>
  <c r="BZ6"/>
  <c r="BT6"/>
  <c r="BN6"/>
  <c r="BH6"/>
  <c r="BB6"/>
  <c r="AV6"/>
  <c r="AP6"/>
  <c r="AJ6"/>
  <c r="AD6"/>
  <c r="X6"/>
  <c r="O6"/>
  <c r="P6" s="1"/>
  <c r="Q6" s="1"/>
  <c r="R6" s="1"/>
  <c r="N6"/>
  <c r="L6"/>
  <c r="J6"/>
  <c r="BX5"/>
  <c r="BY5" s="1"/>
  <c r="N55" i="25" s="1"/>
  <c r="BV5" i="20"/>
  <c r="BR5"/>
  <c r="BS5" s="1"/>
  <c r="M55" i="25" s="1"/>
  <c r="BP5" i="20"/>
  <c r="BQ5" s="1"/>
  <c r="BL5"/>
  <c r="BM5" s="1"/>
  <c r="L55" i="25" s="1"/>
  <c r="BJ5" i="20"/>
  <c r="BF5"/>
  <c r="BG5" s="1"/>
  <c r="BD5"/>
  <c r="AZ5"/>
  <c r="BA5" s="1"/>
  <c r="J55" i="25" s="1"/>
  <c r="AX5" i="20"/>
  <c r="AT5"/>
  <c r="AU5" s="1"/>
  <c r="I55" i="25" s="1"/>
  <c r="AR5" i="20"/>
  <c r="AS5" s="1"/>
  <c r="AN5"/>
  <c r="AO5" s="1"/>
  <c r="H55" i="25" s="1"/>
  <c r="AL5" i="20"/>
  <c r="AH5"/>
  <c r="AI5" s="1"/>
  <c r="G55" i="25" s="1"/>
  <c r="AF5" i="20"/>
  <c r="AB5"/>
  <c r="AC5" s="1"/>
  <c r="F55" i="25" s="1"/>
  <c r="Z5" i="20"/>
  <c r="V5"/>
  <c r="W5" s="1"/>
  <c r="E55" i="25" s="1"/>
  <c r="T5" i="20"/>
  <c r="U5" s="1"/>
  <c r="BZ4"/>
  <c r="BY4"/>
  <c r="BW4"/>
  <c r="BT4"/>
  <c r="BS4"/>
  <c r="BQ4"/>
  <c r="BN4"/>
  <c r="BM4"/>
  <c r="BK4"/>
  <c r="BH4"/>
  <c r="BG4"/>
  <c r="BE4"/>
  <c r="BB4"/>
  <c r="BA4"/>
  <c r="AY4"/>
  <c r="AV4"/>
  <c r="AU4"/>
  <c r="AS4"/>
  <c r="AP4"/>
  <c r="AO4"/>
  <c r="AM4"/>
  <c r="AJ4"/>
  <c r="AI4"/>
  <c r="AG4"/>
  <c r="AD4"/>
  <c r="AC4"/>
  <c r="AA4"/>
  <c r="X4"/>
  <c r="W4"/>
  <c r="U4"/>
  <c r="L4"/>
  <c r="J4"/>
  <c r="W3"/>
  <c r="AC3" s="1"/>
  <c r="AI3" s="1"/>
  <c r="AO3" s="1"/>
  <c r="AU3" s="1"/>
  <c r="BA3" s="1"/>
  <c r="BG3" s="1"/>
  <c r="BM3" s="1"/>
  <c r="BS3" s="1"/>
  <c r="BY3" s="1"/>
  <c r="V3"/>
  <c r="AB3" s="1"/>
  <c r="AH3" s="1"/>
  <c r="AN3" s="1"/>
  <c r="AT3" s="1"/>
  <c r="AZ3" s="1"/>
  <c r="BF3" s="1"/>
  <c r="BL3" s="1"/>
  <c r="BR3" s="1"/>
  <c r="BX3" s="1"/>
  <c r="U3"/>
  <c r="AA3" s="1"/>
  <c r="AG3" s="1"/>
  <c r="AM3" s="1"/>
  <c r="AS3" s="1"/>
  <c r="AY3" s="1"/>
  <c r="BE3" s="1"/>
  <c r="BK3" s="1"/>
  <c r="BQ3" s="1"/>
  <c r="BW3" s="1"/>
  <c r="T3"/>
  <c r="Z3" s="1"/>
  <c r="AF3" s="1"/>
  <c r="AL3" s="1"/>
  <c r="AR3" s="1"/>
  <c r="AX3" s="1"/>
  <c r="BD3" s="1"/>
  <c r="BJ3" s="1"/>
  <c r="BP3" s="1"/>
  <c r="BV3" s="1"/>
  <c r="CF53" i="19"/>
  <c r="CD53"/>
  <c r="O48"/>
  <c r="P48" s="1"/>
  <c r="Q48" s="1"/>
  <c r="R48" s="1"/>
  <c r="BY46"/>
  <c r="BY47" s="1"/>
  <c r="R86" i="24" s="1"/>
  <c r="BW46" i="19"/>
  <c r="BW47" s="1"/>
  <c r="BS46"/>
  <c r="BS47" s="1"/>
  <c r="Q86" i="24" s="1"/>
  <c r="BQ46" i="19"/>
  <c r="BQ47" s="1"/>
  <c r="BM46"/>
  <c r="P66" i="24" s="1"/>
  <c r="BK46" i="19"/>
  <c r="BK47" s="1"/>
  <c r="BG46"/>
  <c r="BG47" s="1"/>
  <c r="BE46"/>
  <c r="BE47" s="1"/>
  <c r="BA46"/>
  <c r="BA47" s="1"/>
  <c r="O86" i="24" s="1"/>
  <c r="AY46" i="19"/>
  <c r="AY47" s="1"/>
  <c r="AU46"/>
  <c r="AU47" s="1"/>
  <c r="AS46"/>
  <c r="AS47" s="1"/>
  <c r="AO46"/>
  <c r="L66" i="24" s="1"/>
  <c r="AM46" i="19"/>
  <c r="AM47" s="1"/>
  <c r="AI46"/>
  <c r="AI47" s="1"/>
  <c r="K86" i="24" s="1"/>
  <c r="AG46" i="19"/>
  <c r="AG47" s="1"/>
  <c r="AC46"/>
  <c r="J66" i="24" s="1"/>
  <c r="AA46" i="19"/>
  <c r="AA47" s="1"/>
  <c r="W46"/>
  <c r="W47" s="1"/>
  <c r="U46"/>
  <c r="U47" s="1"/>
  <c r="BZ40"/>
  <c r="BT40"/>
  <c r="BN40"/>
  <c r="BH40"/>
  <c r="BB40"/>
  <c r="AV40"/>
  <c r="AP40"/>
  <c r="AJ40"/>
  <c r="AD40"/>
  <c r="X40"/>
  <c r="P40"/>
  <c r="Q40" s="1"/>
  <c r="R40" s="1"/>
  <c r="L40"/>
  <c r="J40"/>
  <c r="BZ39"/>
  <c r="BT39"/>
  <c r="BN39"/>
  <c r="BH39"/>
  <c r="BB39"/>
  <c r="AV39"/>
  <c r="AP39"/>
  <c r="AJ39"/>
  <c r="AD39"/>
  <c r="X39"/>
  <c r="P39"/>
  <c r="Q39" s="1"/>
  <c r="R39" s="1"/>
  <c r="L39"/>
  <c r="J39"/>
  <c r="BZ38"/>
  <c r="BY38"/>
  <c r="BW38"/>
  <c r="BT38"/>
  <c r="BS38"/>
  <c r="BQ38"/>
  <c r="BN38"/>
  <c r="BM38"/>
  <c r="BK38"/>
  <c r="BH38"/>
  <c r="BG38"/>
  <c r="BE38"/>
  <c r="BB38"/>
  <c r="BA38"/>
  <c r="AY38"/>
  <c r="AV38"/>
  <c r="AU38"/>
  <c r="AS38"/>
  <c r="AP38"/>
  <c r="AO38"/>
  <c r="AM38"/>
  <c r="AJ38"/>
  <c r="AI38"/>
  <c r="AG38"/>
  <c r="AD38"/>
  <c r="AC38"/>
  <c r="AA38"/>
  <c r="X38"/>
  <c r="W38"/>
  <c r="U38"/>
  <c r="L38"/>
  <c r="J38"/>
  <c r="BZ37"/>
  <c r="BY37"/>
  <c r="N52" i="25" s="1"/>
  <c r="BT37" i="19"/>
  <c r="BS37"/>
  <c r="M52" i="25" s="1"/>
  <c r="BN37" i="19"/>
  <c r="BM37"/>
  <c r="L52" i="25" s="1"/>
  <c r="BH37" i="19"/>
  <c r="BG37"/>
  <c r="K52" i="25" s="1"/>
  <c r="BB37" i="19"/>
  <c r="BA37"/>
  <c r="J52" i="25" s="1"/>
  <c r="AV37" i="19"/>
  <c r="AU37"/>
  <c r="I52" i="25" s="1"/>
  <c r="AP37" i="19"/>
  <c r="AO37"/>
  <c r="H52" i="25" s="1"/>
  <c r="AJ37" i="19"/>
  <c r="AI37"/>
  <c r="G52" i="25" s="1"/>
  <c r="AD37" i="19"/>
  <c r="AC37"/>
  <c r="F52" i="25" s="1"/>
  <c r="X37" i="19"/>
  <c r="W37"/>
  <c r="E52" i="25" s="1"/>
  <c r="K37" i="19"/>
  <c r="CD37" s="1"/>
  <c r="BZ36"/>
  <c r="BY36"/>
  <c r="N51" i="25" s="1"/>
  <c r="BT36" i="19"/>
  <c r="BS36"/>
  <c r="M51" i="25" s="1"/>
  <c r="BN36" i="19"/>
  <c r="BM36"/>
  <c r="L51" i="25" s="1"/>
  <c r="BH36" i="19"/>
  <c r="BG36"/>
  <c r="K51" i="25" s="1"/>
  <c r="BB36" i="19"/>
  <c r="BA36"/>
  <c r="J51" i="25" s="1"/>
  <c r="AV36" i="19"/>
  <c r="AU36"/>
  <c r="I51" i="25" s="1"/>
  <c r="AP36" i="19"/>
  <c r="AO36"/>
  <c r="H51" i="25" s="1"/>
  <c r="AJ36" i="19"/>
  <c r="AI36"/>
  <c r="G51" i="25" s="1"/>
  <c r="AD36" i="19"/>
  <c r="AC36"/>
  <c r="F51" i="25" s="1"/>
  <c r="X36" i="19"/>
  <c r="W36"/>
  <c r="E51" i="25" s="1"/>
  <c r="K36" i="19"/>
  <c r="CD36" s="1"/>
  <c r="CD35"/>
  <c r="BZ35"/>
  <c r="BT35"/>
  <c r="BN35"/>
  <c r="BH35"/>
  <c r="BB35"/>
  <c r="AV35"/>
  <c r="AP35"/>
  <c r="AJ35"/>
  <c r="AD35"/>
  <c r="X35"/>
  <c r="O35"/>
  <c r="P35" s="1"/>
  <c r="Q35" s="1"/>
  <c r="R35" s="1"/>
  <c r="N35"/>
  <c r="CH35" s="1"/>
  <c r="L35"/>
  <c r="J35"/>
  <c r="BZ34"/>
  <c r="BY34"/>
  <c r="N50" i="25" s="1"/>
  <c r="BW34" i="19"/>
  <c r="BT34"/>
  <c r="BS34"/>
  <c r="M50" i="25" s="1"/>
  <c r="BQ34" i="19"/>
  <c r="BN34"/>
  <c r="BM34"/>
  <c r="L50" i="25" s="1"/>
  <c r="BK34" i="19"/>
  <c r="BH34"/>
  <c r="BG34"/>
  <c r="K50" i="25" s="1"/>
  <c r="BE34" i="19"/>
  <c r="BB34"/>
  <c r="BA34"/>
  <c r="J50" i="25" s="1"/>
  <c r="AY34" i="19"/>
  <c r="AV34"/>
  <c r="AU34"/>
  <c r="I50" i="25" s="1"/>
  <c r="AS34" i="19"/>
  <c r="AP34"/>
  <c r="AO34"/>
  <c r="H50" i="25" s="1"/>
  <c r="AM34" i="19"/>
  <c r="AJ34"/>
  <c r="AI34"/>
  <c r="G50" i="25" s="1"/>
  <c r="AG34" i="19"/>
  <c r="AD34"/>
  <c r="AC34"/>
  <c r="F50" i="25" s="1"/>
  <c r="AA34" i="19"/>
  <c r="X34"/>
  <c r="W34"/>
  <c r="E50" i="25" s="1"/>
  <c r="U34" i="19"/>
  <c r="L34"/>
  <c r="J34"/>
  <c r="CD33"/>
  <c r="BZ33"/>
  <c r="BT33"/>
  <c r="BN33"/>
  <c r="BH33"/>
  <c r="BB33"/>
  <c r="AV33"/>
  <c r="AP33"/>
  <c r="AJ33"/>
  <c r="AD33"/>
  <c r="X33"/>
  <c r="N33"/>
  <c r="CH33" s="1"/>
  <c r="L33"/>
  <c r="J33"/>
  <c r="CD32"/>
  <c r="BZ32"/>
  <c r="BT32"/>
  <c r="BN32"/>
  <c r="BH32"/>
  <c r="BB32"/>
  <c r="AV32"/>
  <c r="AP32"/>
  <c r="AJ32"/>
  <c r="AD32"/>
  <c r="X32"/>
  <c r="O32"/>
  <c r="P32" s="1"/>
  <c r="Q32" s="1"/>
  <c r="R32" s="1"/>
  <c r="N32"/>
  <c r="CH32" s="1"/>
  <c r="L32"/>
  <c r="J32"/>
  <c r="BZ31"/>
  <c r="BY31"/>
  <c r="N48" i="25" s="1"/>
  <c r="BW31" i="19"/>
  <c r="BT31"/>
  <c r="BS31"/>
  <c r="M48" i="25" s="1"/>
  <c r="BQ31" i="19"/>
  <c r="BN31"/>
  <c r="BM31"/>
  <c r="L48" i="25" s="1"/>
  <c r="BK31" i="19"/>
  <c r="BH31"/>
  <c r="BG31"/>
  <c r="K48" i="25" s="1"/>
  <c r="BE31" i="19"/>
  <c r="BB31"/>
  <c r="BA31"/>
  <c r="J48" i="25" s="1"/>
  <c r="AY31" i="19"/>
  <c r="AV31"/>
  <c r="AU31"/>
  <c r="I48" i="25" s="1"/>
  <c r="AS31" i="19"/>
  <c r="AP31"/>
  <c r="AO31"/>
  <c r="H48" i="25" s="1"/>
  <c r="AM31" i="19"/>
  <c r="AJ31"/>
  <c r="AI31"/>
  <c r="G48" i="25" s="1"/>
  <c r="AG31" i="19"/>
  <c r="AD31"/>
  <c r="AC31"/>
  <c r="F48" i="25" s="1"/>
  <c r="AA31" i="19"/>
  <c r="X31"/>
  <c r="W31"/>
  <c r="E48" i="25" s="1"/>
  <c r="U31" i="19"/>
  <c r="L31"/>
  <c r="E71" i="27" s="1"/>
  <c r="J31" i="19"/>
  <c r="CD30"/>
  <c r="BZ30"/>
  <c r="BT30"/>
  <c r="BN30"/>
  <c r="BH30"/>
  <c r="BB30"/>
  <c r="AV30"/>
  <c r="AP30"/>
  <c r="AJ30"/>
  <c r="AD30"/>
  <c r="X30"/>
  <c r="O30"/>
  <c r="P30" s="1"/>
  <c r="Q30" s="1"/>
  <c r="R30" s="1"/>
  <c r="N30"/>
  <c r="CH30" s="1"/>
  <c r="L30"/>
  <c r="J30"/>
  <c r="BZ29"/>
  <c r="BY29"/>
  <c r="N46" i="25" s="1"/>
  <c r="BW29" i="19"/>
  <c r="BT29"/>
  <c r="BS29"/>
  <c r="M46" i="25" s="1"/>
  <c r="BQ29" i="19"/>
  <c r="BN29"/>
  <c r="BM29"/>
  <c r="L46" i="25" s="1"/>
  <c r="BK29" i="19"/>
  <c r="BH29"/>
  <c r="BG29"/>
  <c r="K46" i="25" s="1"/>
  <c r="BE29" i="19"/>
  <c r="BB29"/>
  <c r="BA29"/>
  <c r="J46" i="25" s="1"/>
  <c r="AY29" i="19"/>
  <c r="AV29"/>
  <c r="AU29"/>
  <c r="I46" i="25" s="1"/>
  <c r="AS29" i="19"/>
  <c r="AP29"/>
  <c r="AO29"/>
  <c r="H46" i="25" s="1"/>
  <c r="AM29" i="19"/>
  <c r="AJ29"/>
  <c r="AI29"/>
  <c r="G46" i="25" s="1"/>
  <c r="AG29" i="19"/>
  <c r="AD29"/>
  <c r="AC29"/>
  <c r="F46" i="25" s="1"/>
  <c r="AA29" i="19"/>
  <c r="X29"/>
  <c r="W29"/>
  <c r="E46" i="25" s="1"/>
  <c r="U29" i="19"/>
  <c r="L29"/>
  <c r="E69" i="27" s="1"/>
  <c r="J29" i="19"/>
  <c r="CD28"/>
  <c r="BZ28"/>
  <c r="BT28"/>
  <c r="BN28"/>
  <c r="BH28"/>
  <c r="BB28"/>
  <c r="AV28"/>
  <c r="AP28"/>
  <c r="AJ28"/>
  <c r="AD28"/>
  <c r="X28"/>
  <c r="O28"/>
  <c r="P28" s="1"/>
  <c r="Q28" s="1"/>
  <c r="R28" s="1"/>
  <c r="N28"/>
  <c r="CH28" s="1"/>
  <c r="L28"/>
  <c r="J28"/>
  <c r="CD27"/>
  <c r="BZ27"/>
  <c r="BT27"/>
  <c r="BN27"/>
  <c r="BH27"/>
  <c r="BB27"/>
  <c r="AV27"/>
  <c r="AP27"/>
  <c r="AJ27"/>
  <c r="AD27"/>
  <c r="X27"/>
  <c r="O27"/>
  <c r="P27" s="1"/>
  <c r="Q27" s="1"/>
  <c r="R27" s="1"/>
  <c r="N27"/>
  <c r="CH27" s="1"/>
  <c r="L27"/>
  <c r="J27"/>
  <c r="CD26"/>
  <c r="BZ26"/>
  <c r="BT26"/>
  <c r="BN26"/>
  <c r="BH26"/>
  <c r="BB26"/>
  <c r="AV26"/>
  <c r="AP26"/>
  <c r="AJ26"/>
  <c r="AD26"/>
  <c r="X26"/>
  <c r="O26"/>
  <c r="P26" s="1"/>
  <c r="Q26" s="1"/>
  <c r="R26" s="1"/>
  <c r="N26"/>
  <c r="CH26" s="1"/>
  <c r="L26"/>
  <c r="J26"/>
  <c r="BZ25"/>
  <c r="BY25"/>
  <c r="N44" i="25" s="1"/>
  <c r="BW25" i="19"/>
  <c r="BT25"/>
  <c r="BS25"/>
  <c r="M44" i="25" s="1"/>
  <c r="BQ25" i="19"/>
  <c r="BN25"/>
  <c r="BM25"/>
  <c r="L44" i="25" s="1"/>
  <c r="BK25" i="19"/>
  <c r="BH25"/>
  <c r="BG25"/>
  <c r="K44" i="25" s="1"/>
  <c r="BE25" i="19"/>
  <c r="BB25"/>
  <c r="BA25"/>
  <c r="J44" i="25" s="1"/>
  <c r="AY25" i="19"/>
  <c r="AV25"/>
  <c r="AU25"/>
  <c r="I44" i="25" s="1"/>
  <c r="AS25" i="19"/>
  <c r="AP25"/>
  <c r="AO25"/>
  <c r="H44" i="25" s="1"/>
  <c r="AM25" i="19"/>
  <c r="AJ25"/>
  <c r="AI25"/>
  <c r="G44" i="25" s="1"/>
  <c r="AG25" i="19"/>
  <c r="AD25"/>
  <c r="AC25"/>
  <c r="F44" i="25" s="1"/>
  <c r="AA25" i="19"/>
  <c r="X25"/>
  <c r="W25"/>
  <c r="E44" i="25" s="1"/>
  <c r="U25" i="19"/>
  <c r="L25"/>
  <c r="J25"/>
  <c r="CD24"/>
  <c r="BZ24"/>
  <c r="BT24"/>
  <c r="BN24"/>
  <c r="BH24"/>
  <c r="BB24"/>
  <c r="AV24"/>
  <c r="AP24"/>
  <c r="AJ24"/>
  <c r="AD24"/>
  <c r="X24"/>
  <c r="O24"/>
  <c r="P24" s="1"/>
  <c r="Q24" s="1"/>
  <c r="R24" s="1"/>
  <c r="N24"/>
  <c r="CH24" s="1"/>
  <c r="L24"/>
  <c r="J24"/>
  <c r="CD23"/>
  <c r="BZ23"/>
  <c r="BT23"/>
  <c r="BN23"/>
  <c r="BH23"/>
  <c r="BB23"/>
  <c r="AV23"/>
  <c r="AP23"/>
  <c r="AJ23"/>
  <c r="AD23"/>
  <c r="X23"/>
  <c r="O23"/>
  <c r="P23" s="1"/>
  <c r="Q23" s="1"/>
  <c r="R23" s="1"/>
  <c r="N23"/>
  <c r="CH23" s="1"/>
  <c r="L23"/>
  <c r="J23"/>
  <c r="BX22"/>
  <c r="BY22" s="1"/>
  <c r="N43" i="25" s="1"/>
  <c r="BV22" i="19"/>
  <c r="BR22"/>
  <c r="BS22" s="1"/>
  <c r="M43" i="25" s="1"/>
  <c r="BP22" i="19"/>
  <c r="BL22"/>
  <c r="BM22" s="1"/>
  <c r="L43" i="25" s="1"/>
  <c r="BJ22" i="19"/>
  <c r="BK22" s="1"/>
  <c r="BF22"/>
  <c r="BG22" s="1"/>
  <c r="K43" i="25" s="1"/>
  <c r="BD22" i="19"/>
  <c r="BE22" s="1"/>
  <c r="AZ22"/>
  <c r="BA22" s="1"/>
  <c r="J43" i="25" s="1"/>
  <c r="AX22" i="19"/>
  <c r="AT22"/>
  <c r="AU22" s="1"/>
  <c r="I43" i="25" s="1"/>
  <c r="AR22" i="19"/>
  <c r="AN22"/>
  <c r="AO22" s="1"/>
  <c r="H43" i="25" s="1"/>
  <c r="AL22" i="19"/>
  <c r="AM22" s="1"/>
  <c r="AH22"/>
  <c r="AI22" s="1"/>
  <c r="G43" i="25" s="1"/>
  <c r="AF22" i="19"/>
  <c r="AB22"/>
  <c r="AC22" s="1"/>
  <c r="F43" i="25" s="1"/>
  <c r="Z22" i="19"/>
  <c r="V22"/>
  <c r="W22" s="1"/>
  <c r="E43" i="25" s="1"/>
  <c r="T22" i="19"/>
  <c r="CD21"/>
  <c r="BZ21"/>
  <c r="BT21"/>
  <c r="BN21"/>
  <c r="BH21"/>
  <c r="BB21"/>
  <c r="AV21"/>
  <c r="AP21"/>
  <c r="AJ21"/>
  <c r="AD21"/>
  <c r="X21"/>
  <c r="O21"/>
  <c r="P21" s="1"/>
  <c r="Q21" s="1"/>
  <c r="R21" s="1"/>
  <c r="N21"/>
  <c r="CH21" s="1"/>
  <c r="L21"/>
  <c r="J21"/>
  <c r="CD20"/>
  <c r="BZ20"/>
  <c r="BT20"/>
  <c r="BN20"/>
  <c r="BH20"/>
  <c r="BB20"/>
  <c r="AV20"/>
  <c r="AP20"/>
  <c r="AJ20"/>
  <c r="AD20"/>
  <c r="X20"/>
  <c r="O20"/>
  <c r="P20" s="1"/>
  <c r="Q20" s="1"/>
  <c r="R20" s="1"/>
  <c r="N20"/>
  <c r="CH20" s="1"/>
  <c r="L20"/>
  <c r="J20"/>
  <c r="BX19"/>
  <c r="BY19" s="1"/>
  <c r="N42" i="25" s="1"/>
  <c r="BV19" i="19"/>
  <c r="BR19"/>
  <c r="BS19" s="1"/>
  <c r="M42" i="25" s="1"/>
  <c r="BP19" i="19"/>
  <c r="BL19"/>
  <c r="BM19" s="1"/>
  <c r="L42" i="25" s="1"/>
  <c r="BJ19" i="19"/>
  <c r="BK19" s="1"/>
  <c r="BF19"/>
  <c r="BG19" s="1"/>
  <c r="K42" i="25" s="1"/>
  <c r="BD19" i="19"/>
  <c r="BE19" s="1"/>
  <c r="AZ19"/>
  <c r="BA19" s="1"/>
  <c r="J42" i="25" s="1"/>
  <c r="AX19" i="19"/>
  <c r="AT19"/>
  <c r="AU19" s="1"/>
  <c r="I42" i="25" s="1"/>
  <c r="AR19" i="19"/>
  <c r="AN19"/>
  <c r="AO19" s="1"/>
  <c r="H42" i="25" s="1"/>
  <c r="AL19" i="19"/>
  <c r="AM19" s="1"/>
  <c r="AH19"/>
  <c r="AI19" s="1"/>
  <c r="G42" i="25" s="1"/>
  <c r="AF19" i="19"/>
  <c r="AB19"/>
  <c r="AC19" s="1"/>
  <c r="F42" i="25" s="1"/>
  <c r="Z19" i="19"/>
  <c r="V19"/>
  <c r="W19" s="1"/>
  <c r="E42" i="25" s="1"/>
  <c r="T19" i="19"/>
  <c r="CD18"/>
  <c r="BZ18"/>
  <c r="BT18"/>
  <c r="BN18"/>
  <c r="BH18"/>
  <c r="BB18"/>
  <c r="AV18"/>
  <c r="AP18"/>
  <c r="AJ18"/>
  <c r="AD18"/>
  <c r="X18"/>
  <c r="N18"/>
  <c r="CH18" s="1"/>
  <c r="L18"/>
  <c r="J18"/>
  <c r="CD17"/>
  <c r="BZ17"/>
  <c r="BT17"/>
  <c r="BN17"/>
  <c r="BH17"/>
  <c r="BB17"/>
  <c r="AV17"/>
  <c r="AP17"/>
  <c r="AJ17"/>
  <c r="AD17"/>
  <c r="X17"/>
  <c r="N17"/>
  <c r="CH17" s="1"/>
  <c r="L17"/>
  <c r="J17"/>
  <c r="BX16"/>
  <c r="R52" i="25" s="1"/>
  <c r="BV16" i="19"/>
  <c r="BR16"/>
  <c r="R51" i="25" s="1"/>
  <c r="BP16" i="19"/>
  <c r="BL16"/>
  <c r="R50" i="25" s="1"/>
  <c r="BJ16" i="19"/>
  <c r="BF16"/>
  <c r="R49" i="25" s="1"/>
  <c r="BD16" i="19"/>
  <c r="AZ16"/>
  <c r="R48" i="25" s="1"/>
  <c r="AX16" i="19"/>
  <c r="AT16"/>
  <c r="R47" i="25" s="1"/>
  <c r="AR16" i="19"/>
  <c r="AN16"/>
  <c r="R46" i="25" s="1"/>
  <c r="AL16" i="19"/>
  <c r="AH16"/>
  <c r="R45" i="25" s="1"/>
  <c r="AF16" i="19"/>
  <c r="AB16"/>
  <c r="R44" i="25" s="1"/>
  <c r="Z16" i="19"/>
  <c r="V16"/>
  <c r="R43" i="25" s="1"/>
  <c r="T16" i="19"/>
  <c r="O16"/>
  <c r="P16" s="1"/>
  <c r="Q16" s="1"/>
  <c r="R16" s="1"/>
  <c r="N16"/>
  <c r="CD15"/>
  <c r="BZ15"/>
  <c r="BT15"/>
  <c r="BN15"/>
  <c r="BH15"/>
  <c r="BB15"/>
  <c r="AV15"/>
  <c r="AP15"/>
  <c r="AJ15"/>
  <c r="AD15"/>
  <c r="X15"/>
  <c r="O15"/>
  <c r="P15" s="1"/>
  <c r="Q15" s="1"/>
  <c r="R15" s="1"/>
  <c r="N15"/>
  <c r="CH15" s="1"/>
  <c r="L15"/>
  <c r="J15"/>
  <c r="CD14"/>
  <c r="BZ14"/>
  <c r="BT14"/>
  <c r="BN14"/>
  <c r="BH14"/>
  <c r="BB14"/>
  <c r="AV14"/>
  <c r="AP14"/>
  <c r="AJ14"/>
  <c r="AD14"/>
  <c r="X14"/>
  <c r="O14"/>
  <c r="P14" s="1"/>
  <c r="Q14" s="1"/>
  <c r="R14" s="1"/>
  <c r="N14"/>
  <c r="CH14" s="1"/>
  <c r="L14"/>
  <c r="J14"/>
  <c r="BX13"/>
  <c r="BY13" s="1"/>
  <c r="N40" i="25" s="1"/>
  <c r="BV13" i="19"/>
  <c r="BR13"/>
  <c r="BS13" s="1"/>
  <c r="M40" i="25" s="1"/>
  <c r="BP13" i="19"/>
  <c r="BL13"/>
  <c r="BM13" s="1"/>
  <c r="L40" i="25" s="1"/>
  <c r="BJ13" i="19"/>
  <c r="BF13"/>
  <c r="BG13" s="1"/>
  <c r="K40" i="25" s="1"/>
  <c r="BD13" i="19"/>
  <c r="BE13" s="1"/>
  <c r="AZ13"/>
  <c r="BA13" s="1"/>
  <c r="J40" i="25" s="1"/>
  <c r="AX13" i="19"/>
  <c r="AY13" s="1"/>
  <c r="AT13"/>
  <c r="AU13" s="1"/>
  <c r="I40" i="25" s="1"/>
  <c r="AR13" i="19"/>
  <c r="AN13"/>
  <c r="AO13" s="1"/>
  <c r="H40" i="25" s="1"/>
  <c r="AL13" i="19"/>
  <c r="AH13"/>
  <c r="AI13" s="1"/>
  <c r="G40" i="25" s="1"/>
  <c r="AF13" i="19"/>
  <c r="AG13" s="1"/>
  <c r="AB13"/>
  <c r="AC13" s="1"/>
  <c r="F40" i="25" s="1"/>
  <c r="Z13" i="19"/>
  <c r="V13"/>
  <c r="W13" s="1"/>
  <c r="E40" i="25" s="1"/>
  <c r="T13" i="19"/>
  <c r="BZ12"/>
  <c r="BT12"/>
  <c r="BN12"/>
  <c r="BH12"/>
  <c r="BB12"/>
  <c r="AV12"/>
  <c r="AP12"/>
  <c r="AJ12"/>
  <c r="AD12"/>
  <c r="X12"/>
  <c r="M12"/>
  <c r="K12"/>
  <c r="CD12" s="1"/>
  <c r="BZ11"/>
  <c r="BY11"/>
  <c r="N38" i="25" s="1"/>
  <c r="BW11" i="19"/>
  <c r="BT11"/>
  <c r="BS11"/>
  <c r="M38" i="25" s="1"/>
  <c r="BQ11" i="19"/>
  <c r="BN11"/>
  <c r="BM11"/>
  <c r="L38" i="25" s="1"/>
  <c r="BK11" i="19"/>
  <c r="BH11"/>
  <c r="BG11"/>
  <c r="K38" i="25" s="1"/>
  <c r="BE11" i="19"/>
  <c r="BB11"/>
  <c r="BA11"/>
  <c r="J38" i="25" s="1"/>
  <c r="AY11" i="19"/>
  <c r="AV11"/>
  <c r="AU11"/>
  <c r="I38" i="25" s="1"/>
  <c r="AS11" i="19"/>
  <c r="AP11"/>
  <c r="AO11"/>
  <c r="H38" i="25" s="1"/>
  <c r="AM11" i="19"/>
  <c r="AJ11"/>
  <c r="AI11"/>
  <c r="G38" i="25" s="1"/>
  <c r="AG11" i="19"/>
  <c r="AD11"/>
  <c r="AC11"/>
  <c r="F38" i="25" s="1"/>
  <c r="AA11" i="19"/>
  <c r="X11"/>
  <c r="W11"/>
  <c r="E38" i="25" s="1"/>
  <c r="U11" i="19"/>
  <c r="L11"/>
  <c r="J11"/>
  <c r="CD10"/>
  <c r="BZ10"/>
  <c r="BT10"/>
  <c r="BN10"/>
  <c r="BH10"/>
  <c r="BB10"/>
  <c r="AV10"/>
  <c r="AP10"/>
  <c r="AJ10"/>
  <c r="AD10"/>
  <c r="X10"/>
  <c r="O10"/>
  <c r="P10" s="1"/>
  <c r="Q10" s="1"/>
  <c r="R10" s="1"/>
  <c r="N10"/>
  <c r="CH10" s="1"/>
  <c r="L10"/>
  <c r="J10"/>
  <c r="CD9"/>
  <c r="BZ9"/>
  <c r="BT9"/>
  <c r="BN9"/>
  <c r="BH9"/>
  <c r="BB9"/>
  <c r="AV9"/>
  <c r="AP9"/>
  <c r="AJ9"/>
  <c r="AD9"/>
  <c r="X9"/>
  <c r="O9"/>
  <c r="P9" s="1"/>
  <c r="Q9" s="1"/>
  <c r="R9" s="1"/>
  <c r="N9"/>
  <c r="CH9" s="1"/>
  <c r="L9"/>
  <c r="J9"/>
  <c r="CD8"/>
  <c r="BZ8"/>
  <c r="BT8"/>
  <c r="BN8"/>
  <c r="BH8"/>
  <c r="BB8"/>
  <c r="AV8"/>
  <c r="AP8"/>
  <c r="AJ8"/>
  <c r="AD8"/>
  <c r="X8"/>
  <c r="O8"/>
  <c r="P8" s="1"/>
  <c r="Q8" s="1"/>
  <c r="R8" s="1"/>
  <c r="N8"/>
  <c r="CH8" s="1"/>
  <c r="L8"/>
  <c r="J8"/>
  <c r="BX7"/>
  <c r="BY7" s="1"/>
  <c r="N37" i="25" s="1"/>
  <c r="BV7" i="19"/>
  <c r="BR7"/>
  <c r="BS7" s="1"/>
  <c r="M37" i="25" s="1"/>
  <c r="BP7" i="19"/>
  <c r="BL7"/>
  <c r="BM7" s="1"/>
  <c r="L37" i="25" s="1"/>
  <c r="BJ7" i="19"/>
  <c r="BK7" s="1"/>
  <c r="BF7"/>
  <c r="BG7" s="1"/>
  <c r="K37" i="25" s="1"/>
  <c r="BD7" i="19"/>
  <c r="AZ7"/>
  <c r="BA7" s="1"/>
  <c r="J37" i="25" s="1"/>
  <c r="AX7" i="19"/>
  <c r="AT7"/>
  <c r="AU7" s="1"/>
  <c r="I37" i="25" s="1"/>
  <c r="AR7" i="19"/>
  <c r="AN7"/>
  <c r="AO7" s="1"/>
  <c r="H37" i="25" s="1"/>
  <c r="AL7" i="19"/>
  <c r="AM7" s="1"/>
  <c r="AH7"/>
  <c r="AI7" s="1"/>
  <c r="G37" i="25" s="1"/>
  <c r="AF7" i="19"/>
  <c r="AG7" s="1"/>
  <c r="AB7"/>
  <c r="AC7" s="1"/>
  <c r="F37" i="25" s="1"/>
  <c r="Z7" i="19"/>
  <c r="V7"/>
  <c r="W7" s="1"/>
  <c r="E37" i="25" s="1"/>
  <c r="T7" i="19"/>
  <c r="CD6"/>
  <c r="BZ6"/>
  <c r="BT6"/>
  <c r="BN6"/>
  <c r="BH6"/>
  <c r="BB6"/>
  <c r="AV6"/>
  <c r="AP6"/>
  <c r="AJ6"/>
  <c r="AD6"/>
  <c r="X6"/>
  <c r="O6"/>
  <c r="P6" s="1"/>
  <c r="Q6" s="1"/>
  <c r="R6" s="1"/>
  <c r="N6"/>
  <c r="CH6" s="1"/>
  <c r="L6"/>
  <c r="J6"/>
  <c r="CD5"/>
  <c r="BZ5"/>
  <c r="BT5"/>
  <c r="BN5"/>
  <c r="BH5"/>
  <c r="BB5"/>
  <c r="AV5"/>
  <c r="AP5"/>
  <c r="AJ5"/>
  <c r="AD5"/>
  <c r="X5"/>
  <c r="O5"/>
  <c r="P5" s="1"/>
  <c r="Q5" s="1"/>
  <c r="R5" s="1"/>
  <c r="N5"/>
  <c r="CH5" s="1"/>
  <c r="L5"/>
  <c r="J5"/>
  <c r="BX4"/>
  <c r="BY4" s="1"/>
  <c r="BV4"/>
  <c r="BR4"/>
  <c r="BS4" s="1"/>
  <c r="BP4"/>
  <c r="BL4"/>
  <c r="BM4" s="1"/>
  <c r="BJ4"/>
  <c r="BK4" s="1"/>
  <c r="BF4"/>
  <c r="BG4" s="1"/>
  <c r="BD4"/>
  <c r="AZ4"/>
  <c r="BA4" s="1"/>
  <c r="AX4"/>
  <c r="AT4"/>
  <c r="AU4" s="1"/>
  <c r="AR4"/>
  <c r="AN4"/>
  <c r="AO4" s="1"/>
  <c r="AL4"/>
  <c r="AM4" s="1"/>
  <c r="AH4"/>
  <c r="AI4" s="1"/>
  <c r="AF4"/>
  <c r="AG4" s="1"/>
  <c r="AB4"/>
  <c r="AC4" s="1"/>
  <c r="Z4"/>
  <c r="V4"/>
  <c r="W4" s="1"/>
  <c r="T4"/>
  <c r="W3"/>
  <c r="AC3" s="1"/>
  <c r="AI3" s="1"/>
  <c r="AO3" s="1"/>
  <c r="AU3" s="1"/>
  <c r="BA3" s="1"/>
  <c r="BG3" s="1"/>
  <c r="BM3" s="1"/>
  <c r="BS3" s="1"/>
  <c r="BY3" s="1"/>
  <c r="V3"/>
  <c r="AB3" s="1"/>
  <c r="AH3" s="1"/>
  <c r="AN3" s="1"/>
  <c r="AT3" s="1"/>
  <c r="AZ3" s="1"/>
  <c r="BF3" s="1"/>
  <c r="BL3" s="1"/>
  <c r="BR3" s="1"/>
  <c r="BX3" s="1"/>
  <c r="U3"/>
  <c r="AA3" s="1"/>
  <c r="AG3" s="1"/>
  <c r="AM3" s="1"/>
  <c r="AS3" s="1"/>
  <c r="AY3" s="1"/>
  <c r="BE3" s="1"/>
  <c r="BK3" s="1"/>
  <c r="BQ3" s="1"/>
  <c r="BW3" s="1"/>
  <c r="T3"/>
  <c r="Z3" s="1"/>
  <c r="AF3" s="1"/>
  <c r="AL3" s="1"/>
  <c r="AR3" s="1"/>
  <c r="AX3" s="1"/>
  <c r="BD3" s="1"/>
  <c r="BJ3" s="1"/>
  <c r="BP3" s="1"/>
  <c r="BV3" s="1"/>
  <c r="CQ88" i="18"/>
  <c r="CO88"/>
  <c r="CM88"/>
  <c r="CK88"/>
  <c r="CI88"/>
  <c r="CG88"/>
  <c r="CE88"/>
  <c r="O83"/>
  <c r="P83" s="1"/>
  <c r="Q83" s="1"/>
  <c r="R83" s="1"/>
  <c r="M78"/>
  <c r="I76"/>
  <c r="BZ75"/>
  <c r="BT75"/>
  <c r="BN75"/>
  <c r="BH75"/>
  <c r="BB75"/>
  <c r="AV75"/>
  <c r="AP75"/>
  <c r="AJ75"/>
  <c r="AD75"/>
  <c r="X75"/>
  <c r="L75"/>
  <c r="J75"/>
  <c r="BZ74"/>
  <c r="BT74"/>
  <c r="BN74"/>
  <c r="BH74"/>
  <c r="BB74"/>
  <c r="AV74"/>
  <c r="AP74"/>
  <c r="AJ74"/>
  <c r="AD74"/>
  <c r="X74"/>
  <c r="L74"/>
  <c r="J74"/>
  <c r="CS73"/>
  <c r="BZ73"/>
  <c r="BY73"/>
  <c r="BY81" s="1"/>
  <c r="BY82" s="1"/>
  <c r="R85" i="24" s="1"/>
  <c r="BW73" i="18"/>
  <c r="BW81" s="1"/>
  <c r="BW82" s="1"/>
  <c r="BT73"/>
  <c r="BS73"/>
  <c r="BS81" s="1"/>
  <c r="BS82" s="1"/>
  <c r="Q85" i="24" s="1"/>
  <c r="BQ73" i="18"/>
  <c r="BQ81" s="1"/>
  <c r="BQ82" s="1"/>
  <c r="BN73"/>
  <c r="BM73"/>
  <c r="BM81" s="1"/>
  <c r="BM82" s="1"/>
  <c r="P85" i="24" s="1"/>
  <c r="BK73" i="18"/>
  <c r="BK81" s="1"/>
  <c r="BK82" s="1"/>
  <c r="BH73"/>
  <c r="BG73"/>
  <c r="BG81" s="1"/>
  <c r="BG82" s="1"/>
  <c r="O85" i="24" s="1"/>
  <c r="BE73" i="18"/>
  <c r="BE81" s="1"/>
  <c r="BE82" s="1"/>
  <c r="BB73"/>
  <c r="BA73"/>
  <c r="BA81" s="1"/>
  <c r="BA82" s="1"/>
  <c r="N85" i="24" s="1"/>
  <c r="AY73" i="18"/>
  <c r="AY81" s="1"/>
  <c r="AY82" s="1"/>
  <c r="AV73"/>
  <c r="AU73"/>
  <c r="AU81" s="1"/>
  <c r="AU82" s="1"/>
  <c r="M85" i="24" s="1"/>
  <c r="AS73" i="18"/>
  <c r="AS81" s="1"/>
  <c r="AS82" s="1"/>
  <c r="AP73"/>
  <c r="AO73"/>
  <c r="AO81" s="1"/>
  <c r="AO82" s="1"/>
  <c r="L85" i="24" s="1"/>
  <c r="AM73" i="18"/>
  <c r="AM81" s="1"/>
  <c r="AM82" s="1"/>
  <c r="AJ73"/>
  <c r="AI73"/>
  <c r="AI81" s="1"/>
  <c r="AI82" s="1"/>
  <c r="K85" i="24" s="1"/>
  <c r="AG73" i="18"/>
  <c r="AG81" s="1"/>
  <c r="AG82" s="1"/>
  <c r="AD73"/>
  <c r="AC73"/>
  <c r="AC81" s="1"/>
  <c r="AC82" s="1"/>
  <c r="J85" i="24" s="1"/>
  <c r="AA73" i="18"/>
  <c r="AA81" s="1"/>
  <c r="AA82" s="1"/>
  <c r="X73"/>
  <c r="W73"/>
  <c r="W81" s="1"/>
  <c r="W82" s="1"/>
  <c r="I85" i="24" s="1"/>
  <c r="U73" i="18"/>
  <c r="U81" s="1"/>
  <c r="U82" s="1"/>
  <c r="O73"/>
  <c r="N73"/>
  <c r="L73"/>
  <c r="J73"/>
  <c r="BZ72"/>
  <c r="BT72"/>
  <c r="BN72"/>
  <c r="BH72"/>
  <c r="BB72"/>
  <c r="AV72"/>
  <c r="AP72"/>
  <c r="AJ72"/>
  <c r="AD72"/>
  <c r="X72"/>
  <c r="M72"/>
  <c r="K72"/>
  <c r="CR71"/>
  <c r="CP71"/>
  <c r="CN71"/>
  <c r="CL71"/>
  <c r="CJ71"/>
  <c r="CH71"/>
  <c r="CF71"/>
  <c r="BZ71"/>
  <c r="BT71"/>
  <c r="BN71"/>
  <c r="BH71"/>
  <c r="BB71"/>
  <c r="AV71"/>
  <c r="AP71"/>
  <c r="AJ71"/>
  <c r="AD71"/>
  <c r="X71"/>
  <c r="O71"/>
  <c r="P71" s="1"/>
  <c r="Q71" s="1"/>
  <c r="R71" s="1"/>
  <c r="N71"/>
  <c r="L71"/>
  <c r="J71"/>
  <c r="BZ70"/>
  <c r="BY70"/>
  <c r="N33" i="25" s="1"/>
  <c r="BW70" i="18"/>
  <c r="BT70"/>
  <c r="BS70"/>
  <c r="M33" i="25" s="1"/>
  <c r="BQ70" i="18"/>
  <c r="BN70"/>
  <c r="BM70"/>
  <c r="L33" i="25" s="1"/>
  <c r="BK70" i="18"/>
  <c r="BH70"/>
  <c r="BG70"/>
  <c r="K33" i="25" s="1"/>
  <c r="BE70" i="18"/>
  <c r="BB70"/>
  <c r="BA70"/>
  <c r="J33" i="25" s="1"/>
  <c r="AY70" i="18"/>
  <c r="AV70"/>
  <c r="AU70"/>
  <c r="I33" i="25" s="1"/>
  <c r="AS70" i="18"/>
  <c r="AP70"/>
  <c r="AO70"/>
  <c r="H33" i="25" s="1"/>
  <c r="AM70" i="18"/>
  <c r="AJ70"/>
  <c r="AI70"/>
  <c r="G33" i="25" s="1"/>
  <c r="AG70" i="18"/>
  <c r="AD70"/>
  <c r="AC70"/>
  <c r="F33" i="25" s="1"/>
  <c r="AA70" i="18"/>
  <c r="X70"/>
  <c r="W70"/>
  <c r="E33" i="25" s="1"/>
  <c r="U70" i="18"/>
  <c r="L70"/>
  <c r="J70"/>
  <c r="CR69"/>
  <c r="CP69"/>
  <c r="CN69"/>
  <c r="CL69"/>
  <c r="CJ69"/>
  <c r="CH69"/>
  <c r="CF69"/>
  <c r="BZ69"/>
  <c r="BT69"/>
  <c r="BN69"/>
  <c r="BH69"/>
  <c r="BB69"/>
  <c r="AV69"/>
  <c r="AP69"/>
  <c r="AJ69"/>
  <c r="AD69"/>
  <c r="X69"/>
  <c r="N69"/>
  <c r="L69"/>
  <c r="J69"/>
  <c r="CR68"/>
  <c r="CP68"/>
  <c r="CN68"/>
  <c r="CL68"/>
  <c r="CJ68"/>
  <c r="CH68"/>
  <c r="CF68"/>
  <c r="BZ68"/>
  <c r="BT68"/>
  <c r="BN68"/>
  <c r="BH68"/>
  <c r="BB68"/>
  <c r="AV68"/>
  <c r="AP68"/>
  <c r="AJ68"/>
  <c r="AD68"/>
  <c r="X68"/>
  <c r="O68"/>
  <c r="P68" s="1"/>
  <c r="Q68" s="1"/>
  <c r="R68" s="1"/>
  <c r="N68"/>
  <c r="L68"/>
  <c r="J68"/>
  <c r="BZ67"/>
  <c r="BY67"/>
  <c r="N31" i="25" s="1"/>
  <c r="BW67" i="18"/>
  <c r="BT67"/>
  <c r="BS67"/>
  <c r="M31" i="25" s="1"/>
  <c r="BQ67" i="18"/>
  <c r="BN67"/>
  <c r="BM67"/>
  <c r="L31" i="25" s="1"/>
  <c r="BK67" i="18"/>
  <c r="BH67"/>
  <c r="BG67"/>
  <c r="K31" i="25" s="1"/>
  <c r="BE67" i="18"/>
  <c r="BB67"/>
  <c r="BA67"/>
  <c r="J31" i="25" s="1"/>
  <c r="AY67" i="18"/>
  <c r="AV67"/>
  <c r="AU67"/>
  <c r="I31" i="25" s="1"/>
  <c r="AS67" i="18"/>
  <c r="AP67"/>
  <c r="AO67"/>
  <c r="H31" i="25" s="1"/>
  <c r="AM67" i="18"/>
  <c r="AJ67"/>
  <c r="AI67"/>
  <c r="G31" i="25" s="1"/>
  <c r="AG67" i="18"/>
  <c r="AD67"/>
  <c r="AC67"/>
  <c r="F31" i="25" s="1"/>
  <c r="AA67" i="18"/>
  <c r="X67"/>
  <c r="W67"/>
  <c r="E31" i="25" s="1"/>
  <c r="U67" i="18"/>
  <c r="L67"/>
  <c r="E40" i="27" s="1"/>
  <c r="J67" i="18"/>
  <c r="BZ66"/>
  <c r="BT66"/>
  <c r="BN66"/>
  <c r="BH66"/>
  <c r="BB66"/>
  <c r="AV66"/>
  <c r="AP66"/>
  <c r="AJ66"/>
  <c r="AD66"/>
  <c r="X66"/>
  <c r="M66"/>
  <c r="K66"/>
  <c r="CR65"/>
  <c r="CP65"/>
  <c r="CN65"/>
  <c r="CL65"/>
  <c r="CJ65"/>
  <c r="CH65"/>
  <c r="CF65"/>
  <c r="BZ65"/>
  <c r="BT65"/>
  <c r="BN65"/>
  <c r="BH65"/>
  <c r="BB65"/>
  <c r="AV65"/>
  <c r="AP65"/>
  <c r="AJ65"/>
  <c r="AD65"/>
  <c r="X65"/>
  <c r="O65"/>
  <c r="P65" s="1"/>
  <c r="Q65" s="1"/>
  <c r="R65" s="1"/>
  <c r="N65"/>
  <c r="L65"/>
  <c r="J65"/>
  <c r="CR64"/>
  <c r="CP64"/>
  <c r="CN64"/>
  <c r="CL64"/>
  <c r="CJ64"/>
  <c r="CH64"/>
  <c r="CF64"/>
  <c r="BZ64"/>
  <c r="BT64"/>
  <c r="BN64"/>
  <c r="BH64"/>
  <c r="BB64"/>
  <c r="AV64"/>
  <c r="AP64"/>
  <c r="AJ64"/>
  <c r="AD64"/>
  <c r="X64"/>
  <c r="O64"/>
  <c r="P64" s="1"/>
  <c r="Q64" s="1"/>
  <c r="R64" s="1"/>
  <c r="N64"/>
  <c r="L64"/>
  <c r="J64"/>
  <c r="BX63"/>
  <c r="BY63" s="1"/>
  <c r="N28" i="25" s="1"/>
  <c r="BV63" i="18"/>
  <c r="BW63" s="1"/>
  <c r="BR63"/>
  <c r="BP63"/>
  <c r="BQ63" s="1"/>
  <c r="BL63"/>
  <c r="BM63" s="1"/>
  <c r="L28" i="25" s="1"/>
  <c r="BJ63" i="18"/>
  <c r="BF63"/>
  <c r="BG63" s="1"/>
  <c r="K28" i="25" s="1"/>
  <c r="BD63" i="18"/>
  <c r="AZ63"/>
  <c r="BA63" s="1"/>
  <c r="J28" i="25" s="1"/>
  <c r="AX63" i="18"/>
  <c r="AY63" s="1"/>
  <c r="AT63"/>
  <c r="AU63" s="1"/>
  <c r="I28" i="25" s="1"/>
  <c r="AR63" i="18"/>
  <c r="AS63" s="1"/>
  <c r="AN63"/>
  <c r="AO63" s="1"/>
  <c r="H28" i="25" s="1"/>
  <c r="AL63" i="18"/>
  <c r="AH63"/>
  <c r="AI63" s="1"/>
  <c r="G28" i="25" s="1"/>
  <c r="AF63" i="18"/>
  <c r="AG63" s="1"/>
  <c r="AB63"/>
  <c r="AC63" s="1"/>
  <c r="F28" i="25" s="1"/>
  <c r="Z63" i="18"/>
  <c r="AA63" s="1"/>
  <c r="V63"/>
  <c r="W63" s="1"/>
  <c r="E28" i="25" s="1"/>
  <c r="T63" i="18"/>
  <c r="U63" s="1"/>
  <c r="CR62"/>
  <c r="CP62"/>
  <c r="CN62"/>
  <c r="CL62"/>
  <c r="CJ62"/>
  <c r="CH62"/>
  <c r="CF62"/>
  <c r="BZ62"/>
  <c r="BT62"/>
  <c r="BN62"/>
  <c r="BH62"/>
  <c r="BB62"/>
  <c r="AV62"/>
  <c r="AP62"/>
  <c r="AJ62"/>
  <c r="AD62"/>
  <c r="X62"/>
  <c r="O62"/>
  <c r="P62" s="1"/>
  <c r="Q62" s="1"/>
  <c r="R62" s="1"/>
  <c r="N62"/>
  <c r="L62"/>
  <c r="J62"/>
  <c r="CR61"/>
  <c r="CP61"/>
  <c r="CN61"/>
  <c r="CL61"/>
  <c r="CJ61"/>
  <c r="CH61"/>
  <c r="CF61"/>
  <c r="BZ61"/>
  <c r="BT61"/>
  <c r="BN61"/>
  <c r="BH61"/>
  <c r="BB61"/>
  <c r="AV61"/>
  <c r="AP61"/>
  <c r="AJ61"/>
  <c r="AD61"/>
  <c r="X61"/>
  <c r="O61"/>
  <c r="P61" s="1"/>
  <c r="Q61" s="1"/>
  <c r="R61" s="1"/>
  <c r="N61"/>
  <c r="L61"/>
  <c r="J61"/>
  <c r="CR60"/>
  <c r="CP60"/>
  <c r="CN60"/>
  <c r="CL60"/>
  <c r="CJ60"/>
  <c r="CH60"/>
  <c r="CF60"/>
  <c r="BZ60"/>
  <c r="BT60"/>
  <c r="BN60"/>
  <c r="BH60"/>
  <c r="BB60"/>
  <c r="AV60"/>
  <c r="AP60"/>
  <c r="AJ60"/>
  <c r="AD60"/>
  <c r="X60"/>
  <c r="O60"/>
  <c r="P60" s="1"/>
  <c r="Q60" s="1"/>
  <c r="R60" s="1"/>
  <c r="N60"/>
  <c r="L60"/>
  <c r="J60"/>
  <c r="CR59"/>
  <c r="CP59"/>
  <c r="CN59"/>
  <c r="CL59"/>
  <c r="CJ59"/>
  <c r="CH59"/>
  <c r="CF59"/>
  <c r="BZ59"/>
  <c r="BT59"/>
  <c r="BN59"/>
  <c r="BH59"/>
  <c r="BB59"/>
  <c r="AV59"/>
  <c r="AP59"/>
  <c r="AJ59"/>
  <c r="AD59"/>
  <c r="X59"/>
  <c r="O59"/>
  <c r="P59" s="1"/>
  <c r="Q59" s="1"/>
  <c r="R59" s="1"/>
  <c r="N59"/>
  <c r="L59"/>
  <c r="J59"/>
  <c r="CR58"/>
  <c r="CP58"/>
  <c r="CN58"/>
  <c r="CL58"/>
  <c r="CJ58"/>
  <c r="CH58"/>
  <c r="CF58"/>
  <c r="BZ58"/>
  <c r="BT58"/>
  <c r="BN58"/>
  <c r="BH58"/>
  <c r="BB58"/>
  <c r="AV58"/>
  <c r="AP58"/>
  <c r="AJ58"/>
  <c r="AD58"/>
  <c r="X58"/>
  <c r="O58"/>
  <c r="P58" s="1"/>
  <c r="Q58" s="1"/>
  <c r="R58" s="1"/>
  <c r="N58"/>
  <c r="L58"/>
  <c r="J58"/>
  <c r="BX57"/>
  <c r="BY57" s="1"/>
  <c r="N27" i="25" s="1"/>
  <c r="BV57" i="18"/>
  <c r="BW57" s="1"/>
  <c r="BR57"/>
  <c r="BP57"/>
  <c r="BL57"/>
  <c r="BM57" s="1"/>
  <c r="L27" i="25" s="1"/>
  <c r="BJ57" i="18"/>
  <c r="BF57"/>
  <c r="BG57" s="1"/>
  <c r="K27" i="25" s="1"/>
  <c r="BD57" i="18"/>
  <c r="AZ57"/>
  <c r="BA57" s="1"/>
  <c r="J27" i="25" s="1"/>
  <c r="AX57" i="18"/>
  <c r="AY57" s="1"/>
  <c r="AT57"/>
  <c r="AU57" s="1"/>
  <c r="I27" i="25" s="1"/>
  <c r="AR57" i="18"/>
  <c r="AS57" s="1"/>
  <c r="AN57"/>
  <c r="AO57" s="1"/>
  <c r="H27" i="25" s="1"/>
  <c r="AL57" i="18"/>
  <c r="AH57"/>
  <c r="AI57" s="1"/>
  <c r="G27" i="25" s="1"/>
  <c r="AF57" i="18"/>
  <c r="AG57" s="1"/>
  <c r="AB57"/>
  <c r="AC57" s="1"/>
  <c r="F27" i="25" s="1"/>
  <c r="Z57" i="18"/>
  <c r="AA57" s="1"/>
  <c r="V57"/>
  <c r="W57" s="1"/>
  <c r="E27" i="25" s="1"/>
  <c r="T57" i="18"/>
  <c r="U57" s="1"/>
  <c r="CR56"/>
  <c r="CP56"/>
  <c r="CN56"/>
  <c r="CL56"/>
  <c r="CJ56"/>
  <c r="CH56"/>
  <c r="CF56"/>
  <c r="BZ56"/>
  <c r="BT56"/>
  <c r="BN56"/>
  <c r="BH56"/>
  <c r="BB56"/>
  <c r="AV56"/>
  <c r="AP56"/>
  <c r="AJ56"/>
  <c r="AD56"/>
  <c r="X56"/>
  <c r="O56"/>
  <c r="P56" s="1"/>
  <c r="Q56" s="1"/>
  <c r="R56" s="1"/>
  <c r="N56"/>
  <c r="L56"/>
  <c r="J56"/>
  <c r="CR55"/>
  <c r="CP55"/>
  <c r="CN55"/>
  <c r="CL55"/>
  <c r="CJ55"/>
  <c r="CH55"/>
  <c r="CF55"/>
  <c r="BZ55"/>
  <c r="BT55"/>
  <c r="BN55"/>
  <c r="BH55"/>
  <c r="BB55"/>
  <c r="AV55"/>
  <c r="AP55"/>
  <c r="AJ55"/>
  <c r="AD55"/>
  <c r="X55"/>
  <c r="O55"/>
  <c r="P55" s="1"/>
  <c r="Q55" s="1"/>
  <c r="R55" s="1"/>
  <c r="N55"/>
  <c r="L55"/>
  <c r="J55"/>
  <c r="CR54"/>
  <c r="CP54"/>
  <c r="CN54"/>
  <c r="CL54"/>
  <c r="CJ54"/>
  <c r="CH54"/>
  <c r="CF54"/>
  <c r="BZ54"/>
  <c r="BT54"/>
  <c r="BN54"/>
  <c r="BH54"/>
  <c r="BB54"/>
  <c r="AV54"/>
  <c r="AP54"/>
  <c r="AJ54"/>
  <c r="AD54"/>
  <c r="X54"/>
  <c r="O54"/>
  <c r="P54" s="1"/>
  <c r="Q54" s="1"/>
  <c r="R54" s="1"/>
  <c r="N54"/>
  <c r="L54"/>
  <c r="J54"/>
  <c r="CR53"/>
  <c r="CP53"/>
  <c r="CN53"/>
  <c r="CL53"/>
  <c r="CJ53"/>
  <c r="CH53"/>
  <c r="CF53"/>
  <c r="BZ53"/>
  <c r="BT53"/>
  <c r="BN53"/>
  <c r="BH53"/>
  <c r="BB53"/>
  <c r="AV53"/>
  <c r="AP53"/>
  <c r="AJ53"/>
  <c r="AD53"/>
  <c r="X53"/>
  <c r="O53"/>
  <c r="P53" s="1"/>
  <c r="Q53" s="1"/>
  <c r="R53" s="1"/>
  <c r="N53"/>
  <c r="L53"/>
  <c r="J53"/>
  <c r="BX52"/>
  <c r="BV52"/>
  <c r="BR52"/>
  <c r="BS52" s="1"/>
  <c r="M26" i="25" s="1"/>
  <c r="BP52" i="18"/>
  <c r="BL52"/>
  <c r="BM52" s="1"/>
  <c r="L26" i="25" s="1"/>
  <c r="BJ52" i="18"/>
  <c r="BF52"/>
  <c r="BG52" s="1"/>
  <c r="K26" i="25" s="1"/>
  <c r="BD52" i="18"/>
  <c r="BE52" s="1"/>
  <c r="AZ52"/>
  <c r="BA52" s="1"/>
  <c r="J26" i="25" s="1"/>
  <c r="AX52" i="18"/>
  <c r="AT52"/>
  <c r="AU52" s="1"/>
  <c r="I26" i="25" s="1"/>
  <c r="AR52" i="18"/>
  <c r="AS52" s="1"/>
  <c r="AN52"/>
  <c r="AO52" s="1"/>
  <c r="H26" i="25" s="1"/>
  <c r="AL52" i="18"/>
  <c r="AI52"/>
  <c r="G26" i="25" s="1"/>
  <c r="AF52" i="18"/>
  <c r="AG52" s="1"/>
  <c r="AB52"/>
  <c r="AC52" s="1"/>
  <c r="F26" i="25" s="1"/>
  <c r="Z52" i="18"/>
  <c r="V52"/>
  <c r="W52" s="1"/>
  <c r="E26" i="25" s="1"/>
  <c r="T52" i="18"/>
  <c r="U52" s="1"/>
  <c r="CR51"/>
  <c r="CP51"/>
  <c r="CN51"/>
  <c r="CL51"/>
  <c r="CJ51"/>
  <c r="CH51"/>
  <c r="CF51"/>
  <c r="BZ51"/>
  <c r="BT51"/>
  <c r="BN51"/>
  <c r="BH51"/>
  <c r="BB51"/>
  <c r="AV51"/>
  <c r="AP51"/>
  <c r="AJ51"/>
  <c r="AD51"/>
  <c r="X51"/>
  <c r="O51"/>
  <c r="P51" s="1"/>
  <c r="Q51" s="1"/>
  <c r="R51" s="1"/>
  <c r="N51"/>
  <c r="L51"/>
  <c r="J51"/>
  <c r="CR50"/>
  <c r="CP50"/>
  <c r="CN50"/>
  <c r="CL50"/>
  <c r="CJ50"/>
  <c r="CH50"/>
  <c r="CF50"/>
  <c r="BZ50"/>
  <c r="BT50"/>
  <c r="BN50"/>
  <c r="BH50"/>
  <c r="BB50"/>
  <c r="AV50"/>
  <c r="AP50"/>
  <c r="AJ50"/>
  <c r="AD50"/>
  <c r="X50"/>
  <c r="O50"/>
  <c r="P50" s="1"/>
  <c r="Q50" s="1"/>
  <c r="R50" s="1"/>
  <c r="N50"/>
  <c r="L50"/>
  <c r="J50"/>
  <c r="CR49"/>
  <c r="CP49"/>
  <c r="CN49"/>
  <c r="CL49"/>
  <c r="CJ49"/>
  <c r="CH49"/>
  <c r="CF49"/>
  <c r="BZ49"/>
  <c r="BT49"/>
  <c r="BN49"/>
  <c r="BH49"/>
  <c r="BB49"/>
  <c r="AV49"/>
  <c r="AP49"/>
  <c r="AJ49"/>
  <c r="AD49"/>
  <c r="X49"/>
  <c r="O49"/>
  <c r="P49" s="1"/>
  <c r="Q49" s="1"/>
  <c r="R49" s="1"/>
  <c r="N49"/>
  <c r="L49"/>
  <c r="J49"/>
  <c r="BX48"/>
  <c r="BY48" s="1"/>
  <c r="N25" i="25" s="1"/>
  <c r="BV48" i="18"/>
  <c r="BR48"/>
  <c r="BP48"/>
  <c r="BL48"/>
  <c r="BM48" s="1"/>
  <c r="L25" i="25" s="1"/>
  <c r="BJ48" i="18"/>
  <c r="BF48"/>
  <c r="BG48" s="1"/>
  <c r="K25" i="25" s="1"/>
  <c r="BD48" i="18"/>
  <c r="AZ48"/>
  <c r="BA48" s="1"/>
  <c r="J25" i="25" s="1"/>
  <c r="AX48" i="18"/>
  <c r="AY48" s="1"/>
  <c r="AT48"/>
  <c r="AU48" s="1"/>
  <c r="I25" i="25" s="1"/>
  <c r="AR48" i="18"/>
  <c r="AN48"/>
  <c r="AO48" s="1"/>
  <c r="H25" i="25" s="1"/>
  <c r="AL48" i="18"/>
  <c r="AH48"/>
  <c r="AI48" s="1"/>
  <c r="G25" i="25" s="1"/>
  <c r="AF48" i="18"/>
  <c r="AG48" s="1"/>
  <c r="AB48"/>
  <c r="AC48" s="1"/>
  <c r="F25" i="25" s="1"/>
  <c r="Z48" i="18"/>
  <c r="AA48" s="1"/>
  <c r="V48"/>
  <c r="W48" s="1"/>
  <c r="E25" i="25" s="1"/>
  <c r="T48" i="18"/>
  <c r="U48" s="1"/>
  <c r="CR47"/>
  <c r="CP47"/>
  <c r="CN47"/>
  <c r="CL47"/>
  <c r="CJ47"/>
  <c r="CH47"/>
  <c r="CF47"/>
  <c r="BZ47"/>
  <c r="BT47"/>
  <c r="BN47"/>
  <c r="BH47"/>
  <c r="BB47"/>
  <c r="AV47"/>
  <c r="AP47"/>
  <c r="AJ47"/>
  <c r="AD47"/>
  <c r="X47"/>
  <c r="O47"/>
  <c r="P47" s="1"/>
  <c r="Q47" s="1"/>
  <c r="R47" s="1"/>
  <c r="N47"/>
  <c r="L47"/>
  <c r="J47"/>
  <c r="CR46"/>
  <c r="CP46"/>
  <c r="CN46"/>
  <c r="CL46"/>
  <c r="CJ46"/>
  <c r="CH46"/>
  <c r="CF46"/>
  <c r="BZ46"/>
  <c r="BT46"/>
  <c r="BN46"/>
  <c r="BH46"/>
  <c r="BB46"/>
  <c r="AV46"/>
  <c r="AP46"/>
  <c r="AJ46"/>
  <c r="AD46"/>
  <c r="X46"/>
  <c r="O46"/>
  <c r="P46" s="1"/>
  <c r="Q46" s="1"/>
  <c r="R46" s="1"/>
  <c r="N46"/>
  <c r="L46"/>
  <c r="J46"/>
  <c r="BX45"/>
  <c r="BV45"/>
  <c r="BW45" s="1"/>
  <c r="BR45"/>
  <c r="BS45" s="1"/>
  <c r="M24" i="25" s="1"/>
  <c r="BP45" i="18"/>
  <c r="BL45"/>
  <c r="BM45" s="1"/>
  <c r="L24" i="25" s="1"/>
  <c r="BJ45" i="18"/>
  <c r="BK45" s="1"/>
  <c r="BF45"/>
  <c r="BG45" s="1"/>
  <c r="K24" i="25" s="1"/>
  <c r="BD45" i="18"/>
  <c r="AZ45"/>
  <c r="BA45" s="1"/>
  <c r="J24" i="25" s="1"/>
  <c r="AX45" i="18"/>
  <c r="AY45" s="1"/>
  <c r="AT45"/>
  <c r="AU45" s="1"/>
  <c r="I24" i="25" s="1"/>
  <c r="AR45" i="18"/>
  <c r="AN45"/>
  <c r="AO45" s="1"/>
  <c r="H24" i="25" s="1"/>
  <c r="AL45" i="18"/>
  <c r="AM45" s="1"/>
  <c r="AH45"/>
  <c r="AI45" s="1"/>
  <c r="G24" i="25" s="1"/>
  <c r="AF45" i="18"/>
  <c r="AB45"/>
  <c r="AC45" s="1"/>
  <c r="F24" i="25" s="1"/>
  <c r="Z45" i="18"/>
  <c r="V45"/>
  <c r="W45" s="1"/>
  <c r="E24" i="25" s="1"/>
  <c r="T45" i="18"/>
  <c r="CR44"/>
  <c r="CP44"/>
  <c r="CN44"/>
  <c r="CL44"/>
  <c r="CJ44"/>
  <c r="CH44"/>
  <c r="CF44"/>
  <c r="BZ44"/>
  <c r="BT44"/>
  <c r="BN44"/>
  <c r="BH44"/>
  <c r="BB44"/>
  <c r="AV44"/>
  <c r="AP44"/>
  <c r="AJ44"/>
  <c r="AD44"/>
  <c r="X44"/>
  <c r="O44"/>
  <c r="P44" s="1"/>
  <c r="Q44" s="1"/>
  <c r="R44" s="1"/>
  <c r="N44"/>
  <c r="L44"/>
  <c r="J44"/>
  <c r="BZ43"/>
  <c r="BY43"/>
  <c r="N23" i="25" s="1"/>
  <c r="BW43" i="18"/>
  <c r="BT43"/>
  <c r="BS43"/>
  <c r="M23" i="25" s="1"/>
  <c r="BQ43" i="18"/>
  <c r="BN43"/>
  <c r="BM43"/>
  <c r="L23" i="25" s="1"/>
  <c r="BK43" i="18"/>
  <c r="BH43"/>
  <c r="BG43"/>
  <c r="K23" i="25" s="1"/>
  <c r="BE43" i="18"/>
  <c r="BB43"/>
  <c r="BA43"/>
  <c r="J23" i="25" s="1"/>
  <c r="AY43" i="18"/>
  <c r="AV43"/>
  <c r="AU43"/>
  <c r="I23" i="25" s="1"/>
  <c r="AS43" i="18"/>
  <c r="AP43"/>
  <c r="AO43"/>
  <c r="H23" i="25" s="1"/>
  <c r="AM43" i="18"/>
  <c r="AJ43"/>
  <c r="AI43"/>
  <c r="G23" i="25" s="1"/>
  <c r="AG43" i="18"/>
  <c r="AD43"/>
  <c r="AC43"/>
  <c r="F23" i="25" s="1"/>
  <c r="AA43" i="18"/>
  <c r="X43"/>
  <c r="W43"/>
  <c r="E23" i="25" s="1"/>
  <c r="U43" i="18"/>
  <c r="L43"/>
  <c r="J43"/>
  <c r="CR42"/>
  <c r="CP42"/>
  <c r="CN42"/>
  <c r="CL42"/>
  <c r="CJ42"/>
  <c r="CH42"/>
  <c r="CF42"/>
  <c r="BZ42"/>
  <c r="BT42"/>
  <c r="BN42"/>
  <c r="BH42"/>
  <c r="BB42"/>
  <c r="AV42"/>
  <c r="AP42"/>
  <c r="AJ42"/>
  <c r="AD42"/>
  <c r="X42"/>
  <c r="O42"/>
  <c r="P42" s="1"/>
  <c r="Q42" s="1"/>
  <c r="R42" s="1"/>
  <c r="N42"/>
  <c r="L42"/>
  <c r="J42"/>
  <c r="BZ41"/>
  <c r="BY41"/>
  <c r="N21" i="25" s="1"/>
  <c r="BW41" i="18"/>
  <c r="BT41"/>
  <c r="BS41"/>
  <c r="M21" i="25" s="1"/>
  <c r="BQ41" i="18"/>
  <c r="BN41"/>
  <c r="BM41"/>
  <c r="L21" i="25" s="1"/>
  <c r="BK41" i="18"/>
  <c r="BH41"/>
  <c r="BG41"/>
  <c r="K21" i="25" s="1"/>
  <c r="BE41" i="18"/>
  <c r="BB41"/>
  <c r="BA41"/>
  <c r="J21" i="25" s="1"/>
  <c r="AY41" i="18"/>
  <c r="AV41"/>
  <c r="AU41"/>
  <c r="I21" i="25" s="1"/>
  <c r="AS41" i="18"/>
  <c r="AP41"/>
  <c r="AO41"/>
  <c r="H21" i="25" s="1"/>
  <c r="AM41" i="18"/>
  <c r="AJ41"/>
  <c r="AI41"/>
  <c r="G21" i="25" s="1"/>
  <c r="AG41" i="18"/>
  <c r="AD41"/>
  <c r="AC41"/>
  <c r="F21" i="25" s="1"/>
  <c r="AA41" i="18"/>
  <c r="X41"/>
  <c r="W41"/>
  <c r="E21" i="25" s="1"/>
  <c r="U41" i="18"/>
  <c r="L41"/>
  <c r="J41"/>
  <c r="CR40"/>
  <c r="CP40"/>
  <c r="CN40"/>
  <c r="CL40"/>
  <c r="CJ40"/>
  <c r="CH40"/>
  <c r="CF40"/>
  <c r="BZ40"/>
  <c r="BT40"/>
  <c r="BN40"/>
  <c r="BH40"/>
  <c r="BB40"/>
  <c r="AV40"/>
  <c r="AP40"/>
  <c r="AJ40"/>
  <c r="AD40"/>
  <c r="X40"/>
  <c r="O40"/>
  <c r="P40" s="1"/>
  <c r="Q40" s="1"/>
  <c r="R40" s="1"/>
  <c r="N40"/>
  <c r="L40"/>
  <c r="J40"/>
  <c r="CR39"/>
  <c r="CP39"/>
  <c r="CN39"/>
  <c r="CL39"/>
  <c r="CJ39"/>
  <c r="CH39"/>
  <c r="CF39"/>
  <c r="BZ39"/>
  <c r="BT39"/>
  <c r="BN39"/>
  <c r="BH39"/>
  <c r="BB39"/>
  <c r="AV39"/>
  <c r="AP39"/>
  <c r="AJ39"/>
  <c r="AD39"/>
  <c r="X39"/>
  <c r="O39"/>
  <c r="P39" s="1"/>
  <c r="Q39" s="1"/>
  <c r="R39" s="1"/>
  <c r="N39"/>
  <c r="L39"/>
  <c r="J39"/>
  <c r="BX38"/>
  <c r="BV38"/>
  <c r="BR38"/>
  <c r="BS38" s="1"/>
  <c r="M19" i="25" s="1"/>
  <c r="BP38" i="18"/>
  <c r="BL38"/>
  <c r="BM38" s="1"/>
  <c r="L19" i="25" s="1"/>
  <c r="BJ38" i="18"/>
  <c r="BK38" s="1"/>
  <c r="BF38"/>
  <c r="BG38" s="1"/>
  <c r="K19" i="25" s="1"/>
  <c r="BD38" i="18"/>
  <c r="BE38" s="1"/>
  <c r="AZ38"/>
  <c r="BA38" s="1"/>
  <c r="J19" i="25" s="1"/>
  <c r="AX38" i="18"/>
  <c r="AY38" s="1"/>
  <c r="AT38"/>
  <c r="AU38" s="1"/>
  <c r="I19" i="25" s="1"/>
  <c r="AR38" i="18"/>
  <c r="AN38"/>
  <c r="AO38" s="1"/>
  <c r="H19" i="25" s="1"/>
  <c r="AL38" i="18"/>
  <c r="AM38" s="1"/>
  <c r="AH38"/>
  <c r="AI38" s="1"/>
  <c r="G19" i="25" s="1"/>
  <c r="AF38" i="18"/>
  <c r="AB38"/>
  <c r="AC38" s="1"/>
  <c r="F19" i="25" s="1"/>
  <c r="Z38" i="18"/>
  <c r="V38"/>
  <c r="W38" s="1"/>
  <c r="E19" i="25" s="1"/>
  <c r="T38" i="18"/>
  <c r="U38" s="1"/>
  <c r="CR37"/>
  <c r="CP37"/>
  <c r="CN37"/>
  <c r="CL37"/>
  <c r="CJ37"/>
  <c r="CH37"/>
  <c r="CF37"/>
  <c r="BZ37"/>
  <c r="BT37"/>
  <c r="BN37"/>
  <c r="BH37"/>
  <c r="BB37"/>
  <c r="AV37"/>
  <c r="AP37"/>
  <c r="AJ37"/>
  <c r="AD37"/>
  <c r="X37"/>
  <c r="O37"/>
  <c r="P37" s="1"/>
  <c r="Q37" s="1"/>
  <c r="R37" s="1"/>
  <c r="N37"/>
  <c r="L37"/>
  <c r="J37"/>
  <c r="CR36"/>
  <c r="CP36"/>
  <c r="CN36"/>
  <c r="CL36"/>
  <c r="CJ36"/>
  <c r="CH36"/>
  <c r="CF36"/>
  <c r="BZ36"/>
  <c r="BT36"/>
  <c r="BN36"/>
  <c r="BH36"/>
  <c r="BB36"/>
  <c r="AV36"/>
  <c r="AP36"/>
  <c r="AJ36"/>
  <c r="AD36"/>
  <c r="X36"/>
  <c r="O36"/>
  <c r="P36" s="1"/>
  <c r="Q36" s="1"/>
  <c r="R36" s="1"/>
  <c r="N36"/>
  <c r="L36"/>
  <c r="J36"/>
  <c r="BX35"/>
  <c r="BV35"/>
  <c r="BR35"/>
  <c r="BS35" s="1"/>
  <c r="M18" i="25" s="1"/>
  <c r="BP35" i="18"/>
  <c r="BL35"/>
  <c r="BM35" s="1"/>
  <c r="L18" i="25" s="1"/>
  <c r="BJ35" i="18"/>
  <c r="BK35" s="1"/>
  <c r="BF35"/>
  <c r="BG35" s="1"/>
  <c r="K18" i="25" s="1"/>
  <c r="BD35" i="18"/>
  <c r="BE35" s="1"/>
  <c r="AZ35"/>
  <c r="BA35" s="1"/>
  <c r="J18" i="25" s="1"/>
  <c r="AX35" i="18"/>
  <c r="AT35"/>
  <c r="AU35" s="1"/>
  <c r="I18" i="25" s="1"/>
  <c r="AR35" i="18"/>
  <c r="AN35"/>
  <c r="AO35" s="1"/>
  <c r="H18" i="25" s="1"/>
  <c r="AL35" i="18"/>
  <c r="AM35" s="1"/>
  <c r="AH35"/>
  <c r="AI35" s="1"/>
  <c r="G18" i="25" s="1"/>
  <c r="AF35" i="18"/>
  <c r="AG35" s="1"/>
  <c r="AB35"/>
  <c r="AC35" s="1"/>
  <c r="F18" i="25" s="1"/>
  <c r="Z35" i="18"/>
  <c r="V35"/>
  <c r="W35" s="1"/>
  <c r="E18" i="25" s="1"/>
  <c r="T35" i="18"/>
  <c r="BZ34"/>
  <c r="BY34"/>
  <c r="N17" i="25" s="1"/>
  <c r="BW34" i="18"/>
  <c r="BT34"/>
  <c r="BS34"/>
  <c r="M17" i="25" s="1"/>
  <c r="BQ34" i="18"/>
  <c r="BN34"/>
  <c r="BM34"/>
  <c r="L17" i="25" s="1"/>
  <c r="BK34" i="18"/>
  <c r="BH34"/>
  <c r="BG34"/>
  <c r="K17" i="25" s="1"/>
  <c r="BE34" i="18"/>
  <c r="BB34"/>
  <c r="BA34"/>
  <c r="J17" i="25" s="1"/>
  <c r="AY34" i="18"/>
  <c r="AV34"/>
  <c r="AU34"/>
  <c r="I17" i="25" s="1"/>
  <c r="AS34" i="18"/>
  <c r="AP34"/>
  <c r="AO34"/>
  <c r="H17" i="25" s="1"/>
  <c r="AM34" i="18"/>
  <c r="AJ34"/>
  <c r="AI34"/>
  <c r="G17" i="25" s="1"/>
  <c r="AG34" i="18"/>
  <c r="AD34"/>
  <c r="AC34"/>
  <c r="F17" i="25" s="1"/>
  <c r="AA34" i="18"/>
  <c r="X34"/>
  <c r="W34"/>
  <c r="E17" i="25" s="1"/>
  <c r="U34" i="18"/>
  <c r="CR33"/>
  <c r="CP33"/>
  <c r="CN33"/>
  <c r="CL33"/>
  <c r="CJ33"/>
  <c r="CH33"/>
  <c r="CF33"/>
  <c r="BZ33"/>
  <c r="BT33"/>
  <c r="BN33"/>
  <c r="BH33"/>
  <c r="BB33"/>
  <c r="AV33"/>
  <c r="AP33"/>
  <c r="AJ33"/>
  <c r="AD33"/>
  <c r="X33"/>
  <c r="O33"/>
  <c r="P33" s="1"/>
  <c r="Q33" s="1"/>
  <c r="R33" s="1"/>
  <c r="N33"/>
  <c r="L33"/>
  <c r="J33"/>
  <c r="BY32"/>
  <c r="N16" i="25" s="1"/>
  <c r="BW32" i="18"/>
  <c r="BT32"/>
  <c r="BS32"/>
  <c r="M16" i="25" s="1"/>
  <c r="BQ32" i="18"/>
  <c r="BN32"/>
  <c r="BM32"/>
  <c r="L16" i="25" s="1"/>
  <c r="BK32" i="18"/>
  <c r="BH32"/>
  <c r="BG32"/>
  <c r="K16" i="25" s="1"/>
  <c r="BE32" i="18"/>
  <c r="BB32"/>
  <c r="BA32"/>
  <c r="J16" i="25" s="1"/>
  <c r="AY32" i="18"/>
  <c r="AV32"/>
  <c r="AU32"/>
  <c r="I16" i="25" s="1"/>
  <c r="AS32" i="18"/>
  <c r="AP32"/>
  <c r="AO32"/>
  <c r="H16" i="25" s="1"/>
  <c r="AM32" i="18"/>
  <c r="AJ32"/>
  <c r="AI32"/>
  <c r="G16" i="25" s="1"/>
  <c r="AG32" i="18"/>
  <c r="AD32"/>
  <c r="AC32"/>
  <c r="F16" i="25" s="1"/>
  <c r="AA32" i="18"/>
  <c r="X32"/>
  <c r="W32"/>
  <c r="E16" i="25" s="1"/>
  <c r="U32" i="18"/>
  <c r="L32"/>
  <c r="F27" i="27" s="1"/>
  <c r="J32" i="18"/>
  <c r="CR31"/>
  <c r="CP31"/>
  <c r="CN31"/>
  <c r="CL31"/>
  <c r="CJ31"/>
  <c r="CH31"/>
  <c r="CF31"/>
  <c r="BZ31"/>
  <c r="BT31"/>
  <c r="BN31"/>
  <c r="BH31"/>
  <c r="BB31"/>
  <c r="AV31"/>
  <c r="AP31"/>
  <c r="AJ31"/>
  <c r="AD31"/>
  <c r="X31"/>
  <c r="O31"/>
  <c r="P31" s="1"/>
  <c r="Q31" s="1"/>
  <c r="R31" s="1"/>
  <c r="N31"/>
  <c r="L31"/>
  <c r="J31"/>
  <c r="BZ30"/>
  <c r="BY30"/>
  <c r="N14" i="25" s="1"/>
  <c r="BW30" i="18"/>
  <c r="BT30"/>
  <c r="BS30"/>
  <c r="M14" i="25" s="1"/>
  <c r="BQ30" i="18"/>
  <c r="BN30"/>
  <c r="BM30"/>
  <c r="L14" i="25" s="1"/>
  <c r="BK30" i="18"/>
  <c r="BH30"/>
  <c r="BG30"/>
  <c r="K14" i="25" s="1"/>
  <c r="BE30" i="18"/>
  <c r="BB30"/>
  <c r="BA30"/>
  <c r="J14" i="25" s="1"/>
  <c r="AY30" i="18"/>
  <c r="AV30"/>
  <c r="AU30"/>
  <c r="I14" i="25" s="1"/>
  <c r="AS30" i="18"/>
  <c r="AP30"/>
  <c r="AO30"/>
  <c r="H14" i="25" s="1"/>
  <c r="AM30" i="18"/>
  <c r="AJ30"/>
  <c r="AI30"/>
  <c r="G14" i="25" s="1"/>
  <c r="AG30" i="18"/>
  <c r="AD30"/>
  <c r="AC30"/>
  <c r="F14" i="25" s="1"/>
  <c r="AA30" i="18"/>
  <c r="X30"/>
  <c r="W30"/>
  <c r="E14" i="25" s="1"/>
  <c r="U30" i="18"/>
  <c r="L30"/>
  <c r="J30"/>
  <c r="CR29"/>
  <c r="CP29"/>
  <c r="CN29"/>
  <c r="CL29"/>
  <c r="CJ29"/>
  <c r="CH29"/>
  <c r="CF29"/>
  <c r="BZ29"/>
  <c r="BT29"/>
  <c r="BN29"/>
  <c r="BH29"/>
  <c r="BB29"/>
  <c r="AV29"/>
  <c r="AP29"/>
  <c r="AJ29"/>
  <c r="AD29"/>
  <c r="X29"/>
  <c r="O29"/>
  <c r="P29" s="1"/>
  <c r="Q29" s="1"/>
  <c r="R29" s="1"/>
  <c r="N29"/>
  <c r="L29"/>
  <c r="J29"/>
  <c r="BZ28"/>
  <c r="BY28"/>
  <c r="N12" i="25" s="1"/>
  <c r="BW28" i="18"/>
  <c r="BT28"/>
  <c r="BS28"/>
  <c r="M12" i="25" s="1"/>
  <c r="BQ28" i="18"/>
  <c r="BN28"/>
  <c r="BM28"/>
  <c r="L12" i="25" s="1"/>
  <c r="BK28" i="18"/>
  <c r="BH28"/>
  <c r="BG28"/>
  <c r="K12" i="25" s="1"/>
  <c r="BE28" i="18"/>
  <c r="BB28"/>
  <c r="BA28"/>
  <c r="J12" i="25" s="1"/>
  <c r="AY28" i="18"/>
  <c r="AV28"/>
  <c r="AU28"/>
  <c r="I12" i="25" s="1"/>
  <c r="AS28" i="18"/>
  <c r="AP28"/>
  <c r="AO28"/>
  <c r="H12" i="25" s="1"/>
  <c r="AM28" i="18"/>
  <c r="AJ28"/>
  <c r="AI28"/>
  <c r="G12" i="25" s="1"/>
  <c r="AG28" i="18"/>
  <c r="AD28"/>
  <c r="AC28"/>
  <c r="F12" i="25" s="1"/>
  <c r="AA28" i="18"/>
  <c r="X28"/>
  <c r="W28"/>
  <c r="E12" i="25" s="1"/>
  <c r="U28" i="18"/>
  <c r="L28"/>
  <c r="J28"/>
  <c r="CR27"/>
  <c r="CP27"/>
  <c r="CN27"/>
  <c r="CL27"/>
  <c r="CJ27"/>
  <c r="CH27"/>
  <c r="CF27"/>
  <c r="BZ27"/>
  <c r="BT27"/>
  <c r="BN27"/>
  <c r="BH27"/>
  <c r="BB27"/>
  <c r="AV27"/>
  <c r="AP27"/>
  <c r="AJ27"/>
  <c r="AD27"/>
  <c r="X27"/>
  <c r="O27"/>
  <c r="P27" s="1"/>
  <c r="Q27" s="1"/>
  <c r="R27" s="1"/>
  <c r="N27"/>
  <c r="L27"/>
  <c r="J27"/>
  <c r="CR26"/>
  <c r="CP26"/>
  <c r="CN26"/>
  <c r="CL26"/>
  <c r="CJ26"/>
  <c r="CH26"/>
  <c r="CF26"/>
  <c r="BZ26"/>
  <c r="BT26"/>
  <c r="BN26"/>
  <c r="BH26"/>
  <c r="BB26"/>
  <c r="AV26"/>
  <c r="AP26"/>
  <c r="AJ26"/>
  <c r="AD26"/>
  <c r="X26"/>
  <c r="O26"/>
  <c r="P26" s="1"/>
  <c r="Q26" s="1"/>
  <c r="R26" s="1"/>
  <c r="N26"/>
  <c r="L26"/>
  <c r="J26"/>
  <c r="BX25"/>
  <c r="BY25" s="1"/>
  <c r="N10" i="25" s="1"/>
  <c r="BV25" i="18"/>
  <c r="BR25"/>
  <c r="BS25" s="1"/>
  <c r="M10" i="25" s="1"/>
  <c r="BP25" i="18"/>
  <c r="BL25"/>
  <c r="BM25" s="1"/>
  <c r="L10" i="25" s="1"/>
  <c r="BJ25" i="18"/>
  <c r="BK25" s="1"/>
  <c r="BF25"/>
  <c r="BD25"/>
  <c r="AZ25"/>
  <c r="BA25" s="1"/>
  <c r="J10" i="25" s="1"/>
  <c r="AX25" i="18"/>
  <c r="AT25"/>
  <c r="AU25" s="1"/>
  <c r="I10" i="25" s="1"/>
  <c r="AR25" i="18"/>
  <c r="AS25" s="1"/>
  <c r="AN25"/>
  <c r="AO25" s="1"/>
  <c r="H10" i="25" s="1"/>
  <c r="AL25" i="18"/>
  <c r="AM25" s="1"/>
  <c r="AH25"/>
  <c r="AI25" s="1"/>
  <c r="G10" i="25" s="1"/>
  <c r="AF25" i="18"/>
  <c r="AB25"/>
  <c r="AC25" s="1"/>
  <c r="F10" i="25" s="1"/>
  <c r="Z25" i="18"/>
  <c r="V25"/>
  <c r="W25" s="1"/>
  <c r="E10" i="25" s="1"/>
  <c r="T25" i="18"/>
  <c r="U25" s="1"/>
  <c r="CR24"/>
  <c r="CP24"/>
  <c r="CN24"/>
  <c r="CL24"/>
  <c r="CJ24"/>
  <c r="CH24"/>
  <c r="CF24"/>
  <c r="BZ24"/>
  <c r="BT24"/>
  <c r="BN24"/>
  <c r="BH24"/>
  <c r="BB24"/>
  <c r="AV24"/>
  <c r="AP24"/>
  <c r="AJ24"/>
  <c r="AD24"/>
  <c r="X24"/>
  <c r="O24"/>
  <c r="P24" s="1"/>
  <c r="Q24" s="1"/>
  <c r="R24" s="1"/>
  <c r="N24"/>
  <c r="L24"/>
  <c r="J24"/>
  <c r="CR23"/>
  <c r="CP23"/>
  <c r="CN23"/>
  <c r="CL23"/>
  <c r="CJ23"/>
  <c r="CH23"/>
  <c r="CF23"/>
  <c r="BZ23"/>
  <c r="BT23"/>
  <c r="BN23"/>
  <c r="BH23"/>
  <c r="BB23"/>
  <c r="AV23"/>
  <c r="AP23"/>
  <c r="AJ23"/>
  <c r="AD23"/>
  <c r="X23"/>
  <c r="O23"/>
  <c r="P23" s="1"/>
  <c r="Q23" s="1"/>
  <c r="R23" s="1"/>
  <c r="N23"/>
  <c r="L23"/>
  <c r="J23"/>
  <c r="BX22"/>
  <c r="BY22" s="1"/>
  <c r="N9" i="25" s="1"/>
  <c r="BV22" i="18"/>
  <c r="BR22"/>
  <c r="BS22" s="1"/>
  <c r="M9" i="25" s="1"/>
  <c r="BP22" i="18"/>
  <c r="BL22"/>
  <c r="BM22" s="1"/>
  <c r="L9" i="25" s="1"/>
  <c r="BJ22" i="18"/>
  <c r="BF22"/>
  <c r="BG22" s="1"/>
  <c r="K9" i="25" s="1"/>
  <c r="BD22" i="18"/>
  <c r="AZ22"/>
  <c r="BA22" s="1"/>
  <c r="J9" i="25" s="1"/>
  <c r="AX22" i="18"/>
  <c r="AY22" s="1"/>
  <c r="AT22"/>
  <c r="AU22" s="1"/>
  <c r="I9" i="25" s="1"/>
  <c r="AR22" i="18"/>
  <c r="AS22" s="1"/>
  <c r="AN22"/>
  <c r="AO22" s="1"/>
  <c r="AL22"/>
  <c r="AH22"/>
  <c r="AI22" s="1"/>
  <c r="G9" i="25" s="1"/>
  <c r="AF22" i="18"/>
  <c r="AB22"/>
  <c r="AC22" s="1"/>
  <c r="F9" i="25" s="1"/>
  <c r="Z22" i="18"/>
  <c r="AA22" s="1"/>
  <c r="V22"/>
  <c r="W22" s="1"/>
  <c r="E9" i="25" s="1"/>
  <c r="T22" i="18"/>
  <c r="CR21"/>
  <c r="CP21"/>
  <c r="CN21"/>
  <c r="CL21"/>
  <c r="CJ21"/>
  <c r="CH21"/>
  <c r="CF21"/>
  <c r="BZ21"/>
  <c r="BT21"/>
  <c r="BN21"/>
  <c r="BH21"/>
  <c r="BB21"/>
  <c r="AV21"/>
  <c r="AP21"/>
  <c r="AJ21"/>
  <c r="AD21"/>
  <c r="X21"/>
  <c r="O21"/>
  <c r="P21" s="1"/>
  <c r="Q21" s="1"/>
  <c r="R21" s="1"/>
  <c r="N21"/>
  <c r="L21"/>
  <c r="J21"/>
  <c r="CR20"/>
  <c r="CP20"/>
  <c r="CN20"/>
  <c r="CL20"/>
  <c r="CJ20"/>
  <c r="CH20"/>
  <c r="CF20"/>
  <c r="BZ20"/>
  <c r="BT20"/>
  <c r="BN20"/>
  <c r="BH20"/>
  <c r="BB20"/>
  <c r="AV20"/>
  <c r="AP20"/>
  <c r="AJ20"/>
  <c r="AD20"/>
  <c r="X20"/>
  <c r="O20"/>
  <c r="P20" s="1"/>
  <c r="Q20" s="1"/>
  <c r="R20" s="1"/>
  <c r="N20"/>
  <c r="L20"/>
  <c r="J20"/>
  <c r="BX19"/>
  <c r="BY19" s="1"/>
  <c r="N8" i="25" s="1"/>
  <c r="BV19" i="18"/>
  <c r="BW19" s="1"/>
  <c r="BR19"/>
  <c r="BP19"/>
  <c r="BL19"/>
  <c r="BM19" s="1"/>
  <c r="L8" i="25" s="1"/>
  <c r="BJ19" i="18"/>
  <c r="BF19"/>
  <c r="BG19" s="1"/>
  <c r="K8" i="25" s="1"/>
  <c r="BD19" i="18"/>
  <c r="AZ19"/>
  <c r="BA19" s="1"/>
  <c r="J8" i="25" s="1"/>
  <c r="AX19" i="18"/>
  <c r="AY19" s="1"/>
  <c r="AT19"/>
  <c r="AU19" s="1"/>
  <c r="I8" i="25" s="1"/>
  <c r="AR19" i="18"/>
  <c r="AN19"/>
  <c r="AO19" s="1"/>
  <c r="AL19"/>
  <c r="AH19"/>
  <c r="AI19" s="1"/>
  <c r="G8" i="25" s="1"/>
  <c r="AF19" i="18"/>
  <c r="AG19" s="1"/>
  <c r="AB19"/>
  <c r="AC19" s="1"/>
  <c r="F8" i="25" s="1"/>
  <c r="Z19" i="18"/>
  <c r="AA19" s="1"/>
  <c r="V19"/>
  <c r="W19" s="1"/>
  <c r="E8" i="25" s="1"/>
  <c r="T19" i="18"/>
  <c r="CR18"/>
  <c r="CP18"/>
  <c r="CN18"/>
  <c r="CL18"/>
  <c r="CJ18"/>
  <c r="CH18"/>
  <c r="CF18"/>
  <c r="BZ18"/>
  <c r="BT18"/>
  <c r="BN18"/>
  <c r="BH18"/>
  <c r="BB18"/>
  <c r="AV18"/>
  <c r="AP18"/>
  <c r="AJ18"/>
  <c r="AD18"/>
  <c r="X18"/>
  <c r="O18"/>
  <c r="P18" s="1"/>
  <c r="Q18" s="1"/>
  <c r="R18" s="1"/>
  <c r="N18"/>
  <c r="J18"/>
  <c r="CR17"/>
  <c r="CP17"/>
  <c r="CN17"/>
  <c r="CL17"/>
  <c r="CJ17"/>
  <c r="CH17"/>
  <c r="CF17"/>
  <c r="BZ17"/>
  <c r="BT17"/>
  <c r="BN17"/>
  <c r="BH17"/>
  <c r="BB17"/>
  <c r="AV17"/>
  <c r="AP17"/>
  <c r="AJ17"/>
  <c r="AD17"/>
  <c r="X17"/>
  <c r="O17"/>
  <c r="P17" s="1"/>
  <c r="Q17" s="1"/>
  <c r="R17" s="1"/>
  <c r="N17"/>
  <c r="J17"/>
  <c r="BX16"/>
  <c r="BV16"/>
  <c r="BR16"/>
  <c r="BP16"/>
  <c r="BL16"/>
  <c r="BM16" s="1"/>
  <c r="L7" i="25" s="1"/>
  <c r="BJ16" i="18"/>
  <c r="BK16" s="1"/>
  <c r="BF16"/>
  <c r="BG16" s="1"/>
  <c r="K7" i="25" s="1"/>
  <c r="BD16" i="18"/>
  <c r="BE16" s="1"/>
  <c r="AZ16"/>
  <c r="BA16" s="1"/>
  <c r="J7" i="25" s="1"/>
  <c r="AX16" i="18"/>
  <c r="AT16"/>
  <c r="AU16" s="1"/>
  <c r="I7" i="25" s="1"/>
  <c r="AR16" i="18"/>
  <c r="AN16"/>
  <c r="AO16" s="1"/>
  <c r="H7" i="25" s="1"/>
  <c r="AL16" i="18"/>
  <c r="AM16" s="1"/>
  <c r="AH16"/>
  <c r="AI16" s="1"/>
  <c r="G7" i="25" s="1"/>
  <c r="AF16" i="18"/>
  <c r="AB16"/>
  <c r="AC16" s="1"/>
  <c r="F7" i="25" s="1"/>
  <c r="Z16" i="18"/>
  <c r="V16"/>
  <c r="W16" s="1"/>
  <c r="E7" i="25" s="1"/>
  <c r="T16" i="18"/>
  <c r="BZ15"/>
  <c r="BT15"/>
  <c r="BN15"/>
  <c r="BH15"/>
  <c r="BB15"/>
  <c r="AV15"/>
  <c r="AP15"/>
  <c r="AJ15"/>
  <c r="AD15"/>
  <c r="X15"/>
  <c r="M15"/>
  <c r="CN15" s="1"/>
  <c r="K15"/>
  <c r="BZ14"/>
  <c r="BW14"/>
  <c r="BT14"/>
  <c r="BQ14"/>
  <c r="BN14"/>
  <c r="BK14"/>
  <c r="BH14"/>
  <c r="BE14"/>
  <c r="BB14"/>
  <c r="AY14"/>
  <c r="AV14"/>
  <c r="AS14"/>
  <c r="AP14"/>
  <c r="AM14"/>
  <c r="AJ14"/>
  <c r="AG14"/>
  <c r="AD14"/>
  <c r="AA14"/>
  <c r="X14"/>
  <c r="U14"/>
  <c r="M14"/>
  <c r="CR14" s="1"/>
  <c r="L14"/>
  <c r="J14"/>
  <c r="CR13"/>
  <c r="CP13"/>
  <c r="CN13"/>
  <c r="CL13"/>
  <c r="CJ13"/>
  <c r="CH13"/>
  <c r="CF13"/>
  <c r="BZ13"/>
  <c r="BT13"/>
  <c r="BN13"/>
  <c r="BH13"/>
  <c r="BB13"/>
  <c r="AV13"/>
  <c r="AP13"/>
  <c r="AJ13"/>
  <c r="AD13"/>
  <c r="X13"/>
  <c r="O13"/>
  <c r="P13" s="1"/>
  <c r="Q13" s="1"/>
  <c r="R13" s="1"/>
  <c r="N13"/>
  <c r="L13"/>
  <c r="J13"/>
  <c r="CR12"/>
  <c r="CP12"/>
  <c r="CN12"/>
  <c r="CL12"/>
  <c r="CJ12"/>
  <c r="CH12"/>
  <c r="CF12"/>
  <c r="BZ12"/>
  <c r="BT12"/>
  <c r="BN12"/>
  <c r="BH12"/>
  <c r="BB12"/>
  <c r="AV12"/>
  <c r="AP12"/>
  <c r="AJ12"/>
  <c r="AD12"/>
  <c r="X12"/>
  <c r="O12"/>
  <c r="P12" s="1"/>
  <c r="Q12" s="1"/>
  <c r="R12" s="1"/>
  <c r="N12"/>
  <c r="L12"/>
  <c r="J12"/>
  <c r="CR11"/>
  <c r="CP11"/>
  <c r="CN11"/>
  <c r="CL11"/>
  <c r="CJ11"/>
  <c r="CH11"/>
  <c r="CF11"/>
  <c r="BZ11"/>
  <c r="BT11"/>
  <c r="BN11"/>
  <c r="BH11"/>
  <c r="BB11"/>
  <c r="AV11"/>
  <c r="AP11"/>
  <c r="AJ11"/>
  <c r="AD11"/>
  <c r="X11"/>
  <c r="O11"/>
  <c r="P11" s="1"/>
  <c r="Q11" s="1"/>
  <c r="R11" s="1"/>
  <c r="N11"/>
  <c r="L11"/>
  <c r="J11"/>
  <c r="CS10"/>
  <c r="BX10"/>
  <c r="BY10" s="1"/>
  <c r="N4" i="25" s="1"/>
  <c r="BV10" i="18"/>
  <c r="BR10"/>
  <c r="BS10" s="1"/>
  <c r="M4" i="25" s="1"/>
  <c r="BP10" i="18"/>
  <c r="BQ10" s="1"/>
  <c r="BL10"/>
  <c r="BM10" s="1"/>
  <c r="L4" i="25" s="1"/>
  <c r="BJ10" i="18"/>
  <c r="BF10"/>
  <c r="BG10" s="1"/>
  <c r="K4" i="25" s="1"/>
  <c r="BD10" i="18"/>
  <c r="AZ10"/>
  <c r="BA10" s="1"/>
  <c r="J4" i="25" s="1"/>
  <c r="AX10" i="18"/>
  <c r="AY10" s="1"/>
  <c r="AT10"/>
  <c r="AU10" s="1"/>
  <c r="I4" i="25" s="1"/>
  <c r="AR10" i="18"/>
  <c r="AS10" s="1"/>
  <c r="AN10"/>
  <c r="AO10" s="1"/>
  <c r="H4" i="25" s="1"/>
  <c r="AL10" i="18"/>
  <c r="AH10"/>
  <c r="AI10" s="1"/>
  <c r="G4" i="25" s="1"/>
  <c r="AF10" i="18"/>
  <c r="AB10"/>
  <c r="AC10" s="1"/>
  <c r="F4" i="25" s="1"/>
  <c r="Z10" i="18"/>
  <c r="AA10" s="1"/>
  <c r="V10"/>
  <c r="W10" s="1"/>
  <c r="E4" i="25" s="1"/>
  <c r="T10" i="18"/>
  <c r="CR9"/>
  <c r="CP9"/>
  <c r="CN9"/>
  <c r="CL9"/>
  <c r="CJ9"/>
  <c r="CH9"/>
  <c r="CF9"/>
  <c r="BZ9"/>
  <c r="BT9"/>
  <c r="BN9"/>
  <c r="BH9"/>
  <c r="BB9"/>
  <c r="AV9"/>
  <c r="AP9"/>
  <c r="AJ9"/>
  <c r="AD9"/>
  <c r="X9"/>
  <c r="O9"/>
  <c r="P9" s="1"/>
  <c r="Q9" s="1"/>
  <c r="R9" s="1"/>
  <c r="N9"/>
  <c r="L9"/>
  <c r="J9"/>
  <c r="CR8"/>
  <c r="CP8"/>
  <c r="CN8"/>
  <c r="CL8"/>
  <c r="CJ8"/>
  <c r="CH8"/>
  <c r="CF8"/>
  <c r="BZ8"/>
  <c r="BT8"/>
  <c r="BN8"/>
  <c r="BH8"/>
  <c r="BB8"/>
  <c r="AV8"/>
  <c r="AP8"/>
  <c r="AJ8"/>
  <c r="AD8"/>
  <c r="X8"/>
  <c r="O8"/>
  <c r="P8" s="1"/>
  <c r="Q8" s="1"/>
  <c r="R8" s="1"/>
  <c r="N8"/>
  <c r="L8"/>
  <c r="J8"/>
  <c r="BX7"/>
  <c r="BY7" s="1"/>
  <c r="BV7"/>
  <c r="BW7" s="1"/>
  <c r="BR7"/>
  <c r="BS7" s="1"/>
  <c r="BP7"/>
  <c r="BL7"/>
  <c r="BM7" s="1"/>
  <c r="BJ7"/>
  <c r="BF7"/>
  <c r="BG7" s="1"/>
  <c r="BD7"/>
  <c r="BE7" s="1"/>
  <c r="AZ7"/>
  <c r="BA7" s="1"/>
  <c r="AX7"/>
  <c r="AT7"/>
  <c r="AU7" s="1"/>
  <c r="AR7"/>
  <c r="AS7" s="1"/>
  <c r="AN7"/>
  <c r="AO7" s="1"/>
  <c r="AL7"/>
  <c r="AM7" s="1"/>
  <c r="AH7"/>
  <c r="AI7" s="1"/>
  <c r="AF7"/>
  <c r="AG7" s="1"/>
  <c r="AB7"/>
  <c r="AC7" s="1"/>
  <c r="Z7"/>
  <c r="AA7" s="1"/>
  <c r="V7"/>
  <c r="W7" s="1"/>
  <c r="T7"/>
  <c r="U7" s="1"/>
  <c r="CR6"/>
  <c r="CP6"/>
  <c r="CN6"/>
  <c r="CL6"/>
  <c r="CJ6"/>
  <c r="CH6"/>
  <c r="CF6"/>
  <c r="BZ6"/>
  <c r="BT6"/>
  <c r="BN6"/>
  <c r="BH6"/>
  <c r="BB6"/>
  <c r="AV6"/>
  <c r="AP6"/>
  <c r="AJ6"/>
  <c r="AD6"/>
  <c r="X6"/>
  <c r="O6"/>
  <c r="P6" s="1"/>
  <c r="Q6" s="1"/>
  <c r="R6" s="1"/>
  <c r="N6"/>
  <c r="L6"/>
  <c r="J6"/>
  <c r="CR5"/>
  <c r="CP5"/>
  <c r="CN5"/>
  <c r="CL5"/>
  <c r="CJ5"/>
  <c r="CH5"/>
  <c r="CF5"/>
  <c r="BZ5"/>
  <c r="BT5"/>
  <c r="BN5"/>
  <c r="BH5"/>
  <c r="BB5"/>
  <c r="AV5"/>
  <c r="AP5"/>
  <c r="AJ5"/>
  <c r="AD5"/>
  <c r="X5"/>
  <c r="O5"/>
  <c r="P5" s="1"/>
  <c r="Q5" s="1"/>
  <c r="R5" s="1"/>
  <c r="N5"/>
  <c r="L5"/>
  <c r="J5"/>
  <c r="BX4"/>
  <c r="BY4" s="1"/>
  <c r="BV4"/>
  <c r="BR4"/>
  <c r="BS4" s="1"/>
  <c r="BP4"/>
  <c r="BL4"/>
  <c r="BM4" s="1"/>
  <c r="BJ4"/>
  <c r="BF4"/>
  <c r="BG4" s="1"/>
  <c r="BD4"/>
  <c r="BE4" s="1"/>
  <c r="AZ4"/>
  <c r="BA4" s="1"/>
  <c r="AX4"/>
  <c r="AY4" s="1"/>
  <c r="AT4"/>
  <c r="AU4" s="1"/>
  <c r="AR4"/>
  <c r="AN4"/>
  <c r="AO4" s="1"/>
  <c r="AL4"/>
  <c r="AH4"/>
  <c r="AI4" s="1"/>
  <c r="AF4"/>
  <c r="AG4" s="1"/>
  <c r="AB4"/>
  <c r="AC4" s="1"/>
  <c r="Z4"/>
  <c r="V4"/>
  <c r="W4" s="1"/>
  <c r="T4"/>
  <c r="BT3"/>
  <c r="AV3"/>
  <c r="BB3" s="1"/>
  <c r="W3"/>
  <c r="AC3" s="1"/>
  <c r="AI3" s="1"/>
  <c r="AO3" s="1"/>
  <c r="AU3" s="1"/>
  <c r="BA3" s="1"/>
  <c r="BG3" s="1"/>
  <c r="BM3" s="1"/>
  <c r="BS3" s="1"/>
  <c r="BY3" s="1"/>
  <c r="V3"/>
  <c r="AB3" s="1"/>
  <c r="AH3" s="1"/>
  <c r="AN3" s="1"/>
  <c r="AT3" s="1"/>
  <c r="AZ3" s="1"/>
  <c r="BF3" s="1"/>
  <c r="BL3" s="1"/>
  <c r="BR3" s="1"/>
  <c r="BX3" s="1"/>
  <c r="U3"/>
  <c r="AA3" s="1"/>
  <c r="AG3" s="1"/>
  <c r="AM3" s="1"/>
  <c r="AS3" s="1"/>
  <c r="AY3" s="1"/>
  <c r="BE3" s="1"/>
  <c r="BK3" s="1"/>
  <c r="BQ3" s="1"/>
  <c r="BW3" s="1"/>
  <c r="T3"/>
  <c r="Z3" s="1"/>
  <c r="AF3" s="1"/>
  <c r="AL3" s="1"/>
  <c r="AR3" s="1"/>
  <c r="AX3" s="1"/>
  <c r="BD3" s="1"/>
  <c r="BJ3" s="1"/>
  <c r="BP3" s="1"/>
  <c r="BV3" s="1"/>
  <c r="F106" i="24"/>
  <c r="D106" s="1"/>
  <c r="F105"/>
  <c r="D105" s="1"/>
  <c r="E93"/>
  <c r="D93" s="1"/>
  <c r="D92"/>
  <c r="D90"/>
  <c r="D89"/>
  <c r="D88"/>
  <c r="R87"/>
  <c r="E73"/>
  <c r="D73" s="1"/>
  <c r="D72"/>
  <c r="E71"/>
  <c r="D71" s="1"/>
  <c r="D70"/>
  <c r="D69"/>
  <c r="D68"/>
  <c r="E66"/>
  <c r="D56"/>
  <c r="D55"/>
  <c r="E53"/>
  <c r="D53" s="1"/>
  <c r="E50"/>
  <c r="D50" s="1"/>
  <c r="D49"/>
  <c r="D35"/>
  <c r="D14" s="1"/>
  <c r="F14" s="1"/>
  <c r="G14" s="1"/>
  <c r="D29"/>
  <c r="D8" s="1"/>
  <c r="A12" i="9"/>
  <c r="A11"/>
  <c r="A10"/>
  <c r="A9"/>
  <c r="A8"/>
  <c r="A7"/>
  <c r="A6"/>
  <c r="A5"/>
  <c r="A4"/>
  <c r="A3"/>
  <c r="E77" i="27" l="1"/>
  <c r="I25"/>
  <c r="H25"/>
  <c r="G25"/>
  <c r="F25"/>
  <c r="G32"/>
  <c r="F32"/>
  <c r="E32"/>
  <c r="J32"/>
  <c r="I32"/>
  <c r="H32"/>
  <c r="G87"/>
  <c r="H87"/>
  <c r="X17" i="3"/>
  <c r="E55" i="27"/>
  <c r="X4" i="3"/>
  <c r="E47" i="27"/>
  <c r="N16" i="3"/>
  <c r="O16" s="1"/>
  <c r="E54" i="27"/>
  <c r="N15" i="3"/>
  <c r="E53" i="27"/>
  <c r="N21" i="3"/>
  <c r="O21" s="1"/>
  <c r="E56" i="27"/>
  <c r="X7" i="3"/>
  <c r="E48" i="27"/>
  <c r="E3"/>
  <c r="G3"/>
  <c r="R16" i="2"/>
  <c r="R38" s="1"/>
  <c r="E7" i="27"/>
  <c r="E8" s="1"/>
  <c r="CF12" i="19"/>
  <c r="E60" i="27"/>
  <c r="I43"/>
  <c r="H43"/>
  <c r="E43"/>
  <c r="G43"/>
  <c r="F43"/>
  <c r="J43"/>
  <c r="CR66" i="18"/>
  <c r="E39" i="27"/>
  <c r="CN72" i="18"/>
  <c r="H45" i="27"/>
  <c r="I45"/>
  <c r="J45"/>
  <c r="F45"/>
  <c r="G45"/>
  <c r="Z14" i="6"/>
  <c r="F69" i="26"/>
  <c r="Z15" i="6"/>
  <c r="F70" i="26"/>
  <c r="Z16" i="6"/>
  <c r="F71" i="26"/>
  <c r="Z17" i="6"/>
  <c r="F72" i="26"/>
  <c r="Z18" i="6"/>
  <c r="F73" i="26"/>
  <c r="Z4" i="6"/>
  <c r="F63" i="26"/>
  <c r="Z12" i="6"/>
  <c r="F67" i="26"/>
  <c r="Z13" i="6"/>
  <c r="F68" i="26"/>
  <c r="X42" i="4"/>
  <c r="E42" i="26"/>
  <c r="X52" i="4"/>
  <c r="G52" i="26"/>
  <c r="X53" i="4"/>
  <c r="E53" i="26"/>
  <c r="X56" i="4"/>
  <c r="I56" i="26"/>
  <c r="X57" i="4"/>
  <c r="I57" i="26"/>
  <c r="X58" i="4"/>
  <c r="I58" i="26"/>
  <c r="X59" i="4"/>
  <c r="I59" i="26"/>
  <c r="X60" i="4"/>
  <c r="I60" i="26"/>
  <c r="AB9" i="4"/>
  <c r="E16" i="26"/>
  <c r="X16" i="4"/>
  <c r="E18" i="26"/>
  <c r="AC11" i="5"/>
  <c r="G106" i="26"/>
  <c r="H106"/>
  <c r="AC29" i="5"/>
  <c r="H125" i="26"/>
  <c r="AA17" i="5"/>
  <c r="H111" i="26"/>
  <c r="AC23" i="5"/>
  <c r="G120" i="26"/>
  <c r="H120" s="1"/>
  <c r="R33" i="5"/>
  <c r="H130" i="26"/>
  <c r="AC7" i="5"/>
  <c r="G105" i="26"/>
  <c r="H105"/>
  <c r="AC25" i="5"/>
  <c r="G122" i="26"/>
  <c r="CG15" i="20"/>
  <c r="G78" i="26"/>
  <c r="G95"/>
  <c r="G102" s="1"/>
  <c r="H95"/>
  <c r="H102" s="1"/>
  <c r="BY9" i="20"/>
  <c r="N56" i="25" s="1"/>
  <c r="N70"/>
  <c r="N81" s="1"/>
  <c r="O16" i="20"/>
  <c r="P16" s="1"/>
  <c r="Q16" s="1"/>
  <c r="R16" s="1"/>
  <c r="H79" i="26"/>
  <c r="G79"/>
  <c r="G96" i="25"/>
  <c r="G97" s="1"/>
  <c r="G101" s="1"/>
  <c r="D112" s="1"/>
  <c r="F9" i="34" s="1"/>
  <c r="H9" i="25"/>
  <c r="H8"/>
  <c r="K55"/>
  <c r="K54"/>
  <c r="BW32" i="20"/>
  <c r="J32"/>
  <c r="O10" i="24"/>
  <c r="R10" s="1"/>
  <c r="E10" i="23"/>
  <c r="AG16" i="2"/>
  <c r="AT16" s="1"/>
  <c r="J40" i="20"/>
  <c r="BY40"/>
  <c r="L40"/>
  <c r="BY52" i="18"/>
  <c r="L52"/>
  <c r="J16"/>
  <c r="BS16"/>
  <c r="M7" i="25" s="1"/>
  <c r="L16" i="18"/>
  <c r="E8" i="23"/>
  <c r="AV43" i="20"/>
  <c r="AP5"/>
  <c r="BB5"/>
  <c r="BH32"/>
  <c r="E12" i="23"/>
  <c r="R66" i="24"/>
  <c r="AB52" i="4"/>
  <c r="AD4" i="19"/>
  <c r="BB4"/>
  <c r="BZ4"/>
  <c r="AJ16"/>
  <c r="S17" i="5"/>
  <c r="T17" s="1"/>
  <c r="U17" s="1"/>
  <c r="V17" s="1"/>
  <c r="O36"/>
  <c r="AJ5" i="20"/>
  <c r="BB40"/>
  <c r="BB43"/>
  <c r="BN43"/>
  <c r="I66" i="24"/>
  <c r="O66"/>
  <c r="J7" i="19"/>
  <c r="BB22"/>
  <c r="K66" i="24"/>
  <c r="BZ35" i="18"/>
  <c r="AV38"/>
  <c r="BT38"/>
  <c r="AJ45"/>
  <c r="BH45"/>
  <c r="Q65" i="24"/>
  <c r="O20" i="8"/>
  <c r="M19" i="6"/>
  <c r="M20" s="1"/>
  <c r="E51" i="24" s="1"/>
  <c r="D51" s="1"/>
  <c r="P57" i="4"/>
  <c r="P6"/>
  <c r="P60"/>
  <c r="X19" i="3"/>
  <c r="BB9" i="20"/>
  <c r="BN9"/>
  <c r="AV12"/>
  <c r="K50"/>
  <c r="X9"/>
  <c r="AV9"/>
  <c r="BN23"/>
  <c r="X4" i="19"/>
  <c r="BH4"/>
  <c r="BT4"/>
  <c r="BB19"/>
  <c r="N66" i="24"/>
  <c r="BZ16" i="19"/>
  <c r="M37"/>
  <c r="E76" i="27" s="1"/>
  <c r="M65" i="24"/>
  <c r="BH10" i="18"/>
  <c r="BH63"/>
  <c r="BN4"/>
  <c r="BZ4"/>
  <c r="AV19"/>
  <c r="AP52"/>
  <c r="BN52"/>
  <c r="BZ52"/>
  <c r="AV7"/>
  <c r="BB25"/>
  <c r="BH48"/>
  <c r="BM63" i="20"/>
  <c r="P87" i="24" s="1"/>
  <c r="P67"/>
  <c r="K29" i="19"/>
  <c r="CD29" s="1"/>
  <c r="AJ9" i="20"/>
  <c r="M48"/>
  <c r="P65" i="24"/>
  <c r="BB7" i="18"/>
  <c r="BN7"/>
  <c r="AJ10"/>
  <c r="BB10"/>
  <c r="CH14"/>
  <c r="E9" i="23"/>
  <c r="E13"/>
  <c r="W44" i="19"/>
  <c r="W45" s="1"/>
  <c r="AU44"/>
  <c r="AU45" s="1"/>
  <c r="M46" i="24" s="1"/>
  <c r="BS44" i="19"/>
  <c r="BS45" s="1"/>
  <c r="BS49" s="1"/>
  <c r="Q126" i="24" s="1"/>
  <c r="AD7" i="19"/>
  <c r="BB7"/>
  <c r="BZ7"/>
  <c r="X13"/>
  <c r="AV13"/>
  <c r="BT13"/>
  <c r="AV16"/>
  <c r="BH16"/>
  <c r="BT19"/>
  <c r="BT22"/>
  <c r="AD5" i="20"/>
  <c r="BH5"/>
  <c r="BT12"/>
  <c r="AP28"/>
  <c r="BN28"/>
  <c r="BZ40"/>
  <c r="AD43"/>
  <c r="AP43"/>
  <c r="BT43"/>
  <c r="L24" i="3"/>
  <c r="W31" i="5"/>
  <c r="C6" i="23"/>
  <c r="P58" i="4"/>
  <c r="L4" i="6"/>
  <c r="K11" i="19"/>
  <c r="CD11" s="1"/>
  <c r="M38"/>
  <c r="CF38" s="1"/>
  <c r="M17" i="20"/>
  <c r="M38"/>
  <c r="J65" i="24"/>
  <c r="BN48" i="18"/>
  <c r="AP57"/>
  <c r="BN57"/>
  <c r="E11" i="23"/>
  <c r="J4" i="19"/>
  <c r="X7"/>
  <c r="BH7"/>
  <c r="BT7"/>
  <c r="AD13"/>
  <c r="AP13"/>
  <c r="BZ13"/>
  <c r="AP16"/>
  <c r="X19"/>
  <c r="AJ19"/>
  <c r="AV19"/>
  <c r="X22"/>
  <c r="AJ22"/>
  <c r="AV22"/>
  <c r="BN5" i="20"/>
  <c r="BZ5"/>
  <c r="AP9"/>
  <c r="BT9"/>
  <c r="X12"/>
  <c r="AP23"/>
  <c r="AJ32"/>
  <c r="AD40"/>
  <c r="X43"/>
  <c r="BZ43"/>
  <c r="M46"/>
  <c r="Q19" i="2"/>
  <c r="L25" i="3"/>
  <c r="R17" i="5"/>
  <c r="R31"/>
  <c r="N64" i="4"/>
  <c r="N66" s="1"/>
  <c r="P47"/>
  <c r="AB56"/>
  <c r="P13" i="6"/>
  <c r="Q13" s="1"/>
  <c r="R13" s="1"/>
  <c r="S13" s="1"/>
  <c r="N20" i="8"/>
  <c r="AV4" i="18"/>
  <c r="BN10"/>
  <c r="BZ25"/>
  <c r="BT57"/>
  <c r="BN63"/>
  <c r="AP10"/>
  <c r="X35"/>
  <c r="BT35"/>
  <c r="BZ38"/>
  <c r="BT52"/>
  <c r="K14"/>
  <c r="N14" s="1"/>
  <c r="AP19"/>
  <c r="AD25"/>
  <c r="AD45"/>
  <c r="CP14"/>
  <c r="BN19"/>
  <c r="L65" i="24"/>
  <c r="AD4" i="18"/>
  <c r="AP4"/>
  <c r="X10"/>
  <c r="AJ16"/>
  <c r="AV16"/>
  <c r="BT16"/>
  <c r="AJ19"/>
  <c r="X22"/>
  <c r="AJ22"/>
  <c r="CS24"/>
  <c r="X25"/>
  <c r="CS27"/>
  <c r="M34"/>
  <c r="J35"/>
  <c r="AV35"/>
  <c r="BN35"/>
  <c r="AJ38"/>
  <c r="CS42"/>
  <c r="X45"/>
  <c r="AP48"/>
  <c r="BZ48"/>
  <c r="E5" i="23"/>
  <c r="CS6" i="18"/>
  <c r="L10"/>
  <c r="L22"/>
  <c r="AP35"/>
  <c r="CS36"/>
  <c r="AJ48"/>
  <c r="CS58"/>
  <c r="CS62"/>
  <c r="BB16"/>
  <c r="CS18"/>
  <c r="X19"/>
  <c r="BH22"/>
  <c r="BT22"/>
  <c r="BH25"/>
  <c r="BB35"/>
  <c r="BN38"/>
  <c r="CS47"/>
  <c r="AV48"/>
  <c r="BT48"/>
  <c r="CS51"/>
  <c r="BH57"/>
  <c r="AP63"/>
  <c r="AO63" i="20"/>
  <c r="L87" i="24" s="1"/>
  <c r="L67"/>
  <c r="M28" i="20"/>
  <c r="W11" i="5"/>
  <c r="H31" i="10"/>
  <c r="H33" s="1"/>
  <c r="F81" i="11"/>
  <c r="F82" s="1"/>
  <c r="F83" s="1"/>
  <c r="F84" s="1"/>
  <c r="H140" i="12"/>
  <c r="I65" i="24"/>
  <c r="N65"/>
  <c r="M66"/>
  <c r="X4" i="18"/>
  <c r="BB4"/>
  <c r="BT4"/>
  <c r="CS5"/>
  <c r="BH7"/>
  <c r="CS8"/>
  <c r="AD10"/>
  <c r="BT10"/>
  <c r="X16"/>
  <c r="BN16"/>
  <c r="CS17"/>
  <c r="BB19"/>
  <c r="CS20"/>
  <c r="AV22"/>
  <c r="BN22"/>
  <c r="AP25"/>
  <c r="BN25"/>
  <c r="K30"/>
  <c r="AJ35"/>
  <c r="CS37"/>
  <c r="X38"/>
  <c r="AP38"/>
  <c r="BB38"/>
  <c r="CS44"/>
  <c r="AV45"/>
  <c r="BT45"/>
  <c r="BB48"/>
  <c r="AD52"/>
  <c r="BB52"/>
  <c r="CS56"/>
  <c r="BZ57"/>
  <c r="CS59"/>
  <c r="CS61"/>
  <c r="AD63"/>
  <c r="CS64"/>
  <c r="CS65"/>
  <c r="O66"/>
  <c r="P66" s="1"/>
  <c r="Q66" s="1"/>
  <c r="R66" s="1"/>
  <c r="CP66"/>
  <c r="CS69"/>
  <c r="O72"/>
  <c r="P72" s="1"/>
  <c r="Q72" s="1"/>
  <c r="R72" s="1"/>
  <c r="CL72"/>
  <c r="AV4" i="19"/>
  <c r="AV7"/>
  <c r="M11"/>
  <c r="O12"/>
  <c r="P12" s="1"/>
  <c r="Q12" s="1"/>
  <c r="R12" s="1"/>
  <c r="BN13"/>
  <c r="X16"/>
  <c r="BB16"/>
  <c r="BN16"/>
  <c r="J19"/>
  <c r="AD19"/>
  <c r="BH19"/>
  <c r="BZ19"/>
  <c r="J22"/>
  <c r="AD22"/>
  <c r="BH22"/>
  <c r="BZ22"/>
  <c r="M31"/>
  <c r="K34"/>
  <c r="CD34" s="1"/>
  <c r="O46"/>
  <c r="P46" s="1"/>
  <c r="Q46" s="1"/>
  <c r="R46" s="1"/>
  <c r="L5" i="20"/>
  <c r="AD9"/>
  <c r="J12"/>
  <c r="AD12"/>
  <c r="BB12"/>
  <c r="BZ12"/>
  <c r="M22"/>
  <c r="G78" i="27" s="1"/>
  <c r="K22" i="20"/>
  <c r="X23"/>
  <c r="AV23"/>
  <c r="BT23"/>
  <c r="AD28"/>
  <c r="BB28"/>
  <c r="BZ28"/>
  <c r="AP32"/>
  <c r="BN32"/>
  <c r="AJ40"/>
  <c r="BH40"/>
  <c r="K48"/>
  <c r="C5" i="23"/>
  <c r="L7" i="3"/>
  <c r="W17" i="5"/>
  <c r="W25"/>
  <c r="W29"/>
  <c r="O9" i="4"/>
  <c r="AB47"/>
  <c r="P53"/>
  <c r="AB57"/>
  <c r="P59"/>
  <c r="AB60"/>
  <c r="Q23" i="7"/>
  <c r="L9" i="6"/>
  <c r="K140" i="12"/>
  <c r="K137"/>
  <c r="K138" s="1"/>
  <c r="E132" i="24" s="1"/>
  <c r="D132" s="1"/>
  <c r="M7" i="18"/>
  <c r="K25" i="19"/>
  <c r="CD25" s="1"/>
  <c r="M29"/>
  <c r="CG16" i="20"/>
  <c r="M20"/>
  <c r="M37"/>
  <c r="K37"/>
  <c r="S41" i="5"/>
  <c r="AB53" i="4"/>
  <c r="Z59"/>
  <c r="R65" i="24"/>
  <c r="AA4" i="18"/>
  <c r="BW4"/>
  <c r="AD7"/>
  <c r="AY7"/>
  <c r="BZ7"/>
  <c r="U10"/>
  <c r="AV10"/>
  <c r="BE10"/>
  <c r="CS12"/>
  <c r="BH16"/>
  <c r="AD19"/>
  <c r="BZ19"/>
  <c r="U22"/>
  <c r="BQ22"/>
  <c r="AA25"/>
  <c r="AY25"/>
  <c r="BW25"/>
  <c r="CS33"/>
  <c r="U35"/>
  <c r="BH35"/>
  <c r="J38"/>
  <c r="AG38"/>
  <c r="BH38"/>
  <c r="AA45"/>
  <c r="AP45"/>
  <c r="BE45"/>
  <c r="AD48"/>
  <c r="BQ48"/>
  <c r="X52"/>
  <c r="AJ52"/>
  <c r="AM52"/>
  <c r="BH52"/>
  <c r="BK52"/>
  <c r="CS53"/>
  <c r="CS55"/>
  <c r="AD57"/>
  <c r="BB57"/>
  <c r="BB63"/>
  <c r="BZ63"/>
  <c r="N66"/>
  <c r="CH66"/>
  <c r="K67"/>
  <c r="CS71"/>
  <c r="AJ4" i="19"/>
  <c r="AJ7"/>
  <c r="BB13"/>
  <c r="AD16"/>
  <c r="AG19"/>
  <c r="AG22"/>
  <c r="K31"/>
  <c r="CD31" s="1"/>
  <c r="M36"/>
  <c r="E75" i="27" s="1"/>
  <c r="K38" i="19"/>
  <c r="CD38" s="1"/>
  <c r="AG5" i="20"/>
  <c r="BE5"/>
  <c r="AS9"/>
  <c r="BQ9"/>
  <c r="AJ12"/>
  <c r="BH12"/>
  <c r="AD23"/>
  <c r="BB23"/>
  <c r="BZ23"/>
  <c r="AJ28"/>
  <c r="AM28"/>
  <c r="BH28"/>
  <c r="BK28"/>
  <c r="X32"/>
  <c r="AV32"/>
  <c r="BT32"/>
  <c r="K35"/>
  <c r="M35"/>
  <c r="AP40"/>
  <c r="BN40"/>
  <c r="U43"/>
  <c r="AS43"/>
  <c r="BQ43"/>
  <c r="K46"/>
  <c r="M50"/>
  <c r="M22" i="3"/>
  <c r="X16"/>
  <c r="M23"/>
  <c r="E46" i="24" s="1"/>
  <c r="O7" i="5"/>
  <c r="Q36"/>
  <c r="W36" s="1"/>
  <c r="Z57" i="4"/>
  <c r="AB58"/>
  <c r="H137" i="12"/>
  <c r="H138" s="1"/>
  <c r="F32" i="15"/>
  <c r="M34" i="19"/>
  <c r="E74" i="27" s="1"/>
  <c r="J9" i="20"/>
  <c r="BK7" i="18"/>
  <c r="CS9"/>
  <c r="AG10"/>
  <c r="CS11"/>
  <c r="AG16"/>
  <c r="AS19"/>
  <c r="CS21"/>
  <c r="K32"/>
  <c r="BW38"/>
  <c r="CS40"/>
  <c r="AG45"/>
  <c r="CS46"/>
  <c r="AS48"/>
  <c r="BW48"/>
  <c r="CS49"/>
  <c r="BQ57"/>
  <c r="O82"/>
  <c r="P82" s="1"/>
  <c r="Q82" s="1"/>
  <c r="R82" s="1"/>
  <c r="BE4" i="19"/>
  <c r="BE7"/>
  <c r="M7"/>
  <c r="AA13"/>
  <c r="BW13"/>
  <c r="J16"/>
  <c r="M25"/>
  <c r="AC60" i="20"/>
  <c r="AC61" s="1"/>
  <c r="J47" i="24" s="1"/>
  <c r="BA60" i="20"/>
  <c r="BA61" s="1"/>
  <c r="N47" i="24" s="1"/>
  <c r="M4" i="20"/>
  <c r="AM5"/>
  <c r="BK5"/>
  <c r="U9"/>
  <c r="AY9"/>
  <c r="BW9"/>
  <c r="N16"/>
  <c r="K17"/>
  <c r="K20"/>
  <c r="L32"/>
  <c r="K38"/>
  <c r="N38" s="1"/>
  <c r="AA43"/>
  <c r="AY43"/>
  <c r="BW43"/>
  <c r="K52"/>
  <c r="M52"/>
  <c r="T22" i="2"/>
  <c r="L4" i="3"/>
  <c r="P16"/>
  <c r="Q16" s="1"/>
  <c r="R16" s="1"/>
  <c r="S16" s="1"/>
  <c r="O11" i="5"/>
  <c r="W23"/>
  <c r="P9" i="4"/>
  <c r="Z58"/>
  <c r="AB59"/>
  <c r="T4" i="6"/>
  <c r="AC4"/>
  <c r="I31" i="10"/>
  <c r="I32" s="1"/>
  <c r="I34" s="1"/>
  <c r="AT32" i="2"/>
  <c r="AT33"/>
  <c r="Q6"/>
  <c r="J4"/>
  <c r="AD4" s="1"/>
  <c r="AK28"/>
  <c r="K4"/>
  <c r="AM27"/>
  <c r="U28"/>
  <c r="V28" s="1"/>
  <c r="W28" s="1"/>
  <c r="X28" s="1"/>
  <c r="AO28"/>
  <c r="AK30"/>
  <c r="AT31"/>
  <c r="AT34"/>
  <c r="AM35"/>
  <c r="T27"/>
  <c r="T28"/>
  <c r="AM28"/>
  <c r="T35"/>
  <c r="Q8" i="6"/>
  <c r="R8" s="1"/>
  <c r="S8" s="1"/>
  <c r="T9"/>
  <c r="P21"/>
  <c r="Q21" s="1"/>
  <c r="R21" s="1"/>
  <c r="S21" s="1"/>
  <c r="AC9"/>
  <c r="O13"/>
  <c r="N12"/>
  <c r="N14"/>
  <c r="O14" s="1"/>
  <c r="N15"/>
  <c r="O15" s="1"/>
  <c r="N16"/>
  <c r="O16" s="1"/>
  <c r="N17"/>
  <c r="N18"/>
  <c r="O18" s="1"/>
  <c r="O8"/>
  <c r="R23" i="7"/>
  <c r="S23" s="1"/>
  <c r="T23" s="1"/>
  <c r="U23" s="1"/>
  <c r="X18" i="4"/>
  <c r="Q18"/>
  <c r="R18" s="1"/>
  <c r="S18" s="1"/>
  <c r="T18" s="1"/>
  <c r="AB18"/>
  <c r="P18"/>
  <c r="X12"/>
  <c r="Q12"/>
  <c r="R12" s="1"/>
  <c r="S12" s="1"/>
  <c r="T12" s="1"/>
  <c r="AB12"/>
  <c r="P12"/>
  <c r="M64"/>
  <c r="Q4"/>
  <c r="R4" s="1"/>
  <c r="S4" s="1"/>
  <c r="T4" s="1"/>
  <c r="Q6"/>
  <c r="R6" s="1"/>
  <c r="S6" s="1"/>
  <c r="T6" s="1"/>
  <c r="Q16"/>
  <c r="R16" s="1"/>
  <c r="S16" s="1"/>
  <c r="T16" s="1"/>
  <c r="O18"/>
  <c r="AB4"/>
  <c r="AB6"/>
  <c r="AB16"/>
  <c r="AB42"/>
  <c r="P52"/>
  <c r="Q53"/>
  <c r="R53" s="1"/>
  <c r="S53" s="1"/>
  <c r="T53" s="1"/>
  <c r="P56"/>
  <c r="Q57"/>
  <c r="R57" s="1"/>
  <c r="S57" s="1"/>
  <c r="T57" s="1"/>
  <c r="Q58"/>
  <c r="R58" s="1"/>
  <c r="S58" s="1"/>
  <c r="T58" s="1"/>
  <c r="Q59"/>
  <c r="R59" s="1"/>
  <c r="S59" s="1"/>
  <c r="T59" s="1"/>
  <c r="Q60"/>
  <c r="R60" s="1"/>
  <c r="S60" s="1"/>
  <c r="T60" s="1"/>
  <c r="X4"/>
  <c r="X6"/>
  <c r="O12"/>
  <c r="P4"/>
  <c r="Q9"/>
  <c r="R9" s="1"/>
  <c r="S9" s="1"/>
  <c r="T9" s="1"/>
  <c r="X9"/>
  <c r="P16"/>
  <c r="P42"/>
  <c r="Q47"/>
  <c r="R47" s="1"/>
  <c r="S47" s="1"/>
  <c r="T47" s="1"/>
  <c r="X47"/>
  <c r="M63"/>
  <c r="Q42"/>
  <c r="R42" s="1"/>
  <c r="S42" s="1"/>
  <c r="T42" s="1"/>
  <c r="N63"/>
  <c r="Q52"/>
  <c r="R52" s="1"/>
  <c r="S52" s="1"/>
  <c r="T52" s="1"/>
  <c r="Q56"/>
  <c r="R56" s="1"/>
  <c r="S56" s="1"/>
  <c r="T56" s="1"/>
  <c r="AA41" i="5"/>
  <c r="AC41"/>
  <c r="P45"/>
  <c r="AA36"/>
  <c r="S36"/>
  <c r="T36" s="1"/>
  <c r="U36" s="1"/>
  <c r="V36" s="1"/>
  <c r="AC36"/>
  <c r="AG36"/>
  <c r="AG43" s="1"/>
  <c r="AA23"/>
  <c r="AA25"/>
  <c r="AD25" s="1"/>
  <c r="AA29"/>
  <c r="S7"/>
  <c r="W7"/>
  <c r="S11"/>
  <c r="T11" s="1"/>
  <c r="U11" s="1"/>
  <c r="V11" s="1"/>
  <c r="AC17"/>
  <c r="S23"/>
  <c r="T23" s="1"/>
  <c r="U23" s="1"/>
  <c r="V23" s="1"/>
  <c r="O25"/>
  <c r="S25"/>
  <c r="T25" s="1"/>
  <c r="U25" s="1"/>
  <c r="V25" s="1"/>
  <c r="AE25"/>
  <c r="S29"/>
  <c r="T29" s="1"/>
  <c r="U29" s="1"/>
  <c r="V29" s="1"/>
  <c r="AC31"/>
  <c r="AA33"/>
  <c r="T4"/>
  <c r="U4" s="1"/>
  <c r="V4" s="1"/>
  <c r="R7"/>
  <c r="R11"/>
  <c r="R23"/>
  <c r="R25"/>
  <c r="R29"/>
  <c r="AA31"/>
  <c r="S33"/>
  <c r="T33" s="1"/>
  <c r="U33" s="1"/>
  <c r="V33" s="1"/>
  <c r="W33"/>
  <c r="P42"/>
  <c r="AA7"/>
  <c r="AA11"/>
  <c r="AC33"/>
  <c r="S31"/>
  <c r="T31" s="1"/>
  <c r="U31" s="1"/>
  <c r="V31" s="1"/>
  <c r="P15" i="3"/>
  <c r="X15"/>
  <c r="N17"/>
  <c r="O17" s="1"/>
  <c r="O19"/>
  <c r="P21"/>
  <c r="Q21" s="1"/>
  <c r="R21" s="1"/>
  <c r="S21" s="1"/>
  <c r="X21"/>
  <c r="O15"/>
  <c r="P17"/>
  <c r="Q17" s="1"/>
  <c r="R17" s="1"/>
  <c r="S17" s="1"/>
  <c r="AK14" i="2"/>
  <c r="AI14"/>
  <c r="AM14"/>
  <c r="AO14"/>
  <c r="AQ14"/>
  <c r="J11"/>
  <c r="Q12"/>
  <c r="S39"/>
  <c r="S45" s="1"/>
  <c r="AD16"/>
  <c r="T8"/>
  <c r="AI23"/>
  <c r="AQ29"/>
  <c r="Q8"/>
  <c r="U8"/>
  <c r="U40" s="1"/>
  <c r="Q16"/>
  <c r="U23"/>
  <c r="V23" s="1"/>
  <c r="W23" s="1"/>
  <c r="X23" s="1"/>
  <c r="AO23"/>
  <c r="AK27"/>
  <c r="U29"/>
  <c r="V29" s="1"/>
  <c r="W29" s="1"/>
  <c r="X29" s="1"/>
  <c r="AO29"/>
  <c r="AI30"/>
  <c r="AQ30"/>
  <c r="AK35"/>
  <c r="AS35"/>
  <c r="AS46" s="1"/>
  <c r="AG8"/>
  <c r="AI29"/>
  <c r="E65" i="24"/>
  <c r="K11" i="2"/>
  <c r="T23"/>
  <c r="AM23"/>
  <c r="AI27"/>
  <c r="AQ27"/>
  <c r="T29"/>
  <c r="AM29"/>
  <c r="U30"/>
  <c r="V30" s="1"/>
  <c r="W30" s="1"/>
  <c r="X30" s="1"/>
  <c r="AO30"/>
  <c r="AI35"/>
  <c r="AQ35"/>
  <c r="AQ23"/>
  <c r="U27"/>
  <c r="V27" s="1"/>
  <c r="W27" s="1"/>
  <c r="X27" s="1"/>
  <c r="AI28"/>
  <c r="T30"/>
  <c r="U35"/>
  <c r="V35" s="1"/>
  <c r="W35" s="1"/>
  <c r="X35" s="1"/>
  <c r="O62" i="20"/>
  <c r="P62" s="1"/>
  <c r="Q62" s="1"/>
  <c r="R62" s="1"/>
  <c r="I67" i="24"/>
  <c r="W63" i="20"/>
  <c r="M67" i="24"/>
  <c r="AU63" i="20"/>
  <c r="M87" i="24" s="1"/>
  <c r="Q67"/>
  <c r="BS63" i="20"/>
  <c r="Q87" i="24" s="1"/>
  <c r="M12" i="20"/>
  <c r="AI60"/>
  <c r="AI61" s="1"/>
  <c r="BG60"/>
  <c r="BG61" s="1"/>
  <c r="AC57"/>
  <c r="J27" i="24" s="1"/>
  <c r="BA57" i="20"/>
  <c r="N27" i="24" s="1"/>
  <c r="M23" i="20"/>
  <c r="J67" i="24"/>
  <c r="AC63" i="20"/>
  <c r="J87" i="24" s="1"/>
  <c r="BA63" i="20"/>
  <c r="N87" i="24" s="1"/>
  <c r="N67"/>
  <c r="AO60" i="20"/>
  <c r="AO61" s="1"/>
  <c r="BM60"/>
  <c r="BM61" s="1"/>
  <c r="M32"/>
  <c r="AI63"/>
  <c r="K87" i="24" s="1"/>
  <c r="K67"/>
  <c r="BG63" i="20"/>
  <c r="O87" i="24" s="1"/>
  <c r="O67"/>
  <c r="W60" i="20"/>
  <c r="AU60"/>
  <c r="AU61" s="1"/>
  <c r="BS60"/>
  <c r="BS61" s="1"/>
  <c r="AO57"/>
  <c r="L27" i="24" s="1"/>
  <c r="BM57" i="20"/>
  <c r="P27" i="24" s="1"/>
  <c r="M43" i="20"/>
  <c r="BH23"/>
  <c r="X28"/>
  <c r="BB32"/>
  <c r="AV40"/>
  <c r="BT40"/>
  <c r="BH43"/>
  <c r="K4"/>
  <c r="J5"/>
  <c r="L9"/>
  <c r="BZ9"/>
  <c r="CE16"/>
  <c r="L23"/>
  <c r="J28"/>
  <c r="L43"/>
  <c r="AV5"/>
  <c r="CE15"/>
  <c r="AD32"/>
  <c r="X40"/>
  <c r="M5"/>
  <c r="AA5"/>
  <c r="AY5"/>
  <c r="BW5"/>
  <c r="AM9"/>
  <c r="BK9"/>
  <c r="L12"/>
  <c r="U12"/>
  <c r="AS12"/>
  <c r="BQ12"/>
  <c r="O15"/>
  <c r="P15" s="1"/>
  <c r="Q15" s="1"/>
  <c r="R15" s="1"/>
  <c r="AM23"/>
  <c r="BK23"/>
  <c r="AA28"/>
  <c r="AY28"/>
  <c r="BW28"/>
  <c r="AG32"/>
  <c r="BE32"/>
  <c r="AA40"/>
  <c r="AY40"/>
  <c r="BW40"/>
  <c r="AM43"/>
  <c r="BK43"/>
  <c r="W57"/>
  <c r="I27" i="24" s="1"/>
  <c r="AI57" i="20"/>
  <c r="K27" i="24" s="1"/>
  <c r="AU57" i="20"/>
  <c r="M27" i="24" s="1"/>
  <c r="BG57" i="20"/>
  <c r="O27" i="24" s="1"/>
  <c r="BS57" i="20"/>
  <c r="Q27" i="24" s="1"/>
  <c r="X5" i="20"/>
  <c r="BT5"/>
  <c r="BH9"/>
  <c r="AP12"/>
  <c r="BN12"/>
  <c r="AJ23"/>
  <c r="AV28"/>
  <c r="BT28"/>
  <c r="BZ32"/>
  <c r="AJ43"/>
  <c r="N15"/>
  <c r="J23"/>
  <c r="L28"/>
  <c r="J43"/>
  <c r="BY41" i="19"/>
  <c r="BY44"/>
  <c r="BY45" s="1"/>
  <c r="M4"/>
  <c r="I86" i="24"/>
  <c r="AI44" i="19"/>
  <c r="AI45" s="1"/>
  <c r="AI41"/>
  <c r="BM41"/>
  <c r="BM44"/>
  <c r="BM45" s="1"/>
  <c r="M19"/>
  <c r="E63" i="27" s="1"/>
  <c r="M22" i="19"/>
  <c r="E64" i="27" s="1"/>
  <c r="AC41" i="19"/>
  <c r="AC44"/>
  <c r="AC45" s="1"/>
  <c r="M86" i="24"/>
  <c r="N86"/>
  <c r="BA41" i="19"/>
  <c r="BA44"/>
  <c r="BA45" s="1"/>
  <c r="AO41"/>
  <c r="AO44"/>
  <c r="AO45" s="1"/>
  <c r="BG44"/>
  <c r="BG45" s="1"/>
  <c r="BG41"/>
  <c r="M13"/>
  <c r="E61" i="27" s="1"/>
  <c r="AP4" i="19"/>
  <c r="AP19"/>
  <c r="BN19"/>
  <c r="AP22"/>
  <c r="Q66" i="24"/>
  <c r="AA4" i="19"/>
  <c r="AY4"/>
  <c r="BW4"/>
  <c r="AA7"/>
  <c r="AY7"/>
  <c r="BW7"/>
  <c r="N12"/>
  <c r="CH12" s="1"/>
  <c r="L13"/>
  <c r="U13"/>
  <c r="AS13"/>
  <c r="BQ13"/>
  <c r="AA19"/>
  <c r="AY19"/>
  <c r="BW19"/>
  <c r="AA22"/>
  <c r="AY22"/>
  <c r="BW22"/>
  <c r="W41"/>
  <c r="AU41"/>
  <c r="BS41"/>
  <c r="BN4"/>
  <c r="AP7"/>
  <c r="BN7"/>
  <c r="AO47"/>
  <c r="L86" i="24" s="1"/>
  <c r="BM47" i="19"/>
  <c r="P86" i="24" s="1"/>
  <c r="F85" s="1"/>
  <c r="D85" s="1"/>
  <c r="L4" i="19"/>
  <c r="U4"/>
  <c r="AS4"/>
  <c r="BQ4"/>
  <c r="L7"/>
  <c r="U7"/>
  <c r="AS7"/>
  <c r="BQ7"/>
  <c r="AM13"/>
  <c r="AM41" s="1"/>
  <c r="BK13"/>
  <c r="BK41" s="1"/>
  <c r="L16"/>
  <c r="BT16"/>
  <c r="L19"/>
  <c r="U19"/>
  <c r="AS19"/>
  <c r="BQ19"/>
  <c r="L22"/>
  <c r="U22"/>
  <c r="AS22"/>
  <c r="BQ22"/>
  <c r="AJ13"/>
  <c r="BH13"/>
  <c r="BN22"/>
  <c r="AC47"/>
  <c r="J86" i="24" s="1"/>
  <c r="J13" i="19"/>
  <c r="W76" i="18"/>
  <c r="W79"/>
  <c r="AC79"/>
  <c r="AC80" s="1"/>
  <c r="AC84" s="1"/>
  <c r="AC76"/>
  <c r="M4"/>
  <c r="AU76"/>
  <c r="AU79"/>
  <c r="AU80" s="1"/>
  <c r="AI76"/>
  <c r="AI79"/>
  <c r="AI80" s="1"/>
  <c r="BA79"/>
  <c r="BA80" s="1"/>
  <c r="BA76"/>
  <c r="AO79"/>
  <c r="AO80" s="1"/>
  <c r="AO76"/>
  <c r="BM79"/>
  <c r="BM80" s="1"/>
  <c r="BM76"/>
  <c r="BW10"/>
  <c r="J10"/>
  <c r="BQ25"/>
  <c r="J25"/>
  <c r="CP15"/>
  <c r="CH15"/>
  <c r="N15"/>
  <c r="CR15"/>
  <c r="CJ15"/>
  <c r="O15"/>
  <c r="P15" s="1"/>
  <c r="Q15" s="1"/>
  <c r="R15" s="1"/>
  <c r="CL15"/>
  <c r="BG25"/>
  <c r="L25"/>
  <c r="BS48"/>
  <c r="L48"/>
  <c r="BQ52"/>
  <c r="J52"/>
  <c r="AP7"/>
  <c r="M30"/>
  <c r="M67"/>
  <c r="E41" i="27" s="1"/>
  <c r="K65" i="24"/>
  <c r="O65"/>
  <c r="L4" i="18"/>
  <c r="U4"/>
  <c r="AS4"/>
  <c r="BQ4"/>
  <c r="X7"/>
  <c r="AJ7"/>
  <c r="CS13"/>
  <c r="CF15"/>
  <c r="AD16"/>
  <c r="AD22"/>
  <c r="AP22"/>
  <c r="CS23"/>
  <c r="CS31"/>
  <c r="AD38"/>
  <c r="CS39"/>
  <c r="M43"/>
  <c r="K43"/>
  <c r="J45"/>
  <c r="BN45"/>
  <c r="BZ45"/>
  <c r="X48"/>
  <c r="CS50"/>
  <c r="CS54"/>
  <c r="AJ57"/>
  <c r="AV57"/>
  <c r="CS60"/>
  <c r="BT63"/>
  <c r="CS68"/>
  <c r="BW22"/>
  <c r="J22"/>
  <c r="BY16"/>
  <c r="N7" i="25" s="1"/>
  <c r="BE19" i="18"/>
  <c r="J19"/>
  <c r="BS19"/>
  <c r="L19"/>
  <c r="BY38"/>
  <c r="L38"/>
  <c r="BE48"/>
  <c r="J48"/>
  <c r="BS57"/>
  <c r="L57"/>
  <c r="BH4"/>
  <c r="K34"/>
  <c r="M41"/>
  <c r="AM4"/>
  <c r="BK4"/>
  <c r="BZ10"/>
  <c r="AP16"/>
  <c r="BB22"/>
  <c r="BZ22"/>
  <c r="BT25"/>
  <c r="M28"/>
  <c r="F24" i="27" s="1"/>
  <c r="K28" i="18"/>
  <c r="M32"/>
  <c r="F28" i="27" s="1"/>
  <c r="BB45" i="18"/>
  <c r="X57"/>
  <c r="X63"/>
  <c r="AJ63"/>
  <c r="AV63"/>
  <c r="BE63"/>
  <c r="J63"/>
  <c r="P73"/>
  <c r="Q73" s="1"/>
  <c r="R73" s="1"/>
  <c r="BY35"/>
  <c r="L35"/>
  <c r="BY45"/>
  <c r="L45"/>
  <c r="BE57"/>
  <c r="J57"/>
  <c r="BS63"/>
  <c r="L63"/>
  <c r="AJ4"/>
  <c r="K41"/>
  <c r="J4"/>
  <c r="J7"/>
  <c r="BT7"/>
  <c r="M10"/>
  <c r="BZ16"/>
  <c r="BH19"/>
  <c r="BT19"/>
  <c r="M22"/>
  <c r="AJ25"/>
  <c r="AV25"/>
  <c r="CS26"/>
  <c r="CS29"/>
  <c r="AD35"/>
  <c r="AV52"/>
  <c r="M70"/>
  <c r="K70"/>
  <c r="O81"/>
  <c r="P81" s="1"/>
  <c r="Q81" s="1"/>
  <c r="R81" s="1"/>
  <c r="L7"/>
  <c r="BQ7"/>
  <c r="AM10"/>
  <c r="BK10"/>
  <c r="O14"/>
  <c r="P14" s="1"/>
  <c r="Q14" s="1"/>
  <c r="R14" s="1"/>
  <c r="CF14"/>
  <c r="CN14"/>
  <c r="AA16"/>
  <c r="AY16"/>
  <c r="BW16"/>
  <c r="U19"/>
  <c r="BQ19"/>
  <c r="AM22"/>
  <c r="BK22"/>
  <c r="AG25"/>
  <c r="BE25"/>
  <c r="AA35"/>
  <c r="AY35"/>
  <c r="BW35"/>
  <c r="AA38"/>
  <c r="CF66"/>
  <c r="CN66"/>
  <c r="CJ72"/>
  <c r="CR72"/>
  <c r="CL14"/>
  <c r="U16"/>
  <c r="AS16"/>
  <c r="BQ16"/>
  <c r="AM19"/>
  <c r="BK19"/>
  <c r="AG22"/>
  <c r="BE22"/>
  <c r="AS35"/>
  <c r="BQ35"/>
  <c r="AS38"/>
  <c r="BQ38"/>
  <c r="U45"/>
  <c r="AS45"/>
  <c r="BQ45"/>
  <c r="AM48"/>
  <c r="BK48"/>
  <c r="AA52"/>
  <c r="AY52"/>
  <c r="BW52"/>
  <c r="AM57"/>
  <c r="BK57"/>
  <c r="AM63"/>
  <c r="BK63"/>
  <c r="CL66"/>
  <c r="N72"/>
  <c r="CH72"/>
  <c r="CP72"/>
  <c r="CJ14"/>
  <c r="CJ66"/>
  <c r="CF72"/>
  <c r="D33" i="24"/>
  <c r="D12" s="1"/>
  <c r="F12" s="1"/>
  <c r="G12" s="1"/>
  <c r="O15" s="1"/>
  <c r="D114"/>
  <c r="D118" s="1"/>
  <c r="D120" s="1"/>
  <c r="D102" s="1"/>
  <c r="C144" s="1"/>
  <c r="E46" i="27" l="1"/>
  <c r="G26"/>
  <c r="H26"/>
  <c r="I26"/>
  <c r="F26"/>
  <c r="CP7" i="18"/>
  <c r="H18" i="27"/>
  <c r="J18"/>
  <c r="E18"/>
  <c r="F18"/>
  <c r="G18"/>
  <c r="CF34" i="18"/>
  <c r="E29" i="27"/>
  <c r="J21"/>
  <c r="F21"/>
  <c r="G21"/>
  <c r="H21"/>
  <c r="I21"/>
  <c r="E21"/>
  <c r="H33"/>
  <c r="I33"/>
  <c r="E33"/>
  <c r="J33"/>
  <c r="F33"/>
  <c r="G33"/>
  <c r="R39" i="2"/>
  <c r="E45" i="24" s="1"/>
  <c r="E139" i="26"/>
  <c r="E140" s="1"/>
  <c r="D145" s="1"/>
  <c r="B2" i="34" s="1"/>
  <c r="T16" i="2"/>
  <c r="U16"/>
  <c r="U38" s="1"/>
  <c r="V38" s="1"/>
  <c r="W38" s="1"/>
  <c r="X38" s="1"/>
  <c r="F46" i="27"/>
  <c r="I46"/>
  <c r="J46"/>
  <c r="H46"/>
  <c r="G46"/>
  <c r="Z26" i="6"/>
  <c r="B4" i="23" s="1"/>
  <c r="F4" s="1"/>
  <c r="J80" i="27"/>
  <c r="F80"/>
  <c r="G80"/>
  <c r="H80"/>
  <c r="I80"/>
  <c r="H87" i="26"/>
  <c r="G81" i="27"/>
  <c r="G94" i="26"/>
  <c r="G85" i="27"/>
  <c r="H85"/>
  <c r="H85" i="26"/>
  <c r="G79" i="27"/>
  <c r="H79"/>
  <c r="I79"/>
  <c r="J79"/>
  <c r="F79"/>
  <c r="CF11" i="19"/>
  <c r="E59" i="27"/>
  <c r="O25" i="19"/>
  <c r="P25" s="1"/>
  <c r="Q25" s="1"/>
  <c r="R25" s="1"/>
  <c r="E65" i="27"/>
  <c r="O7" i="19"/>
  <c r="P7" s="1"/>
  <c r="Q7" s="1"/>
  <c r="R7" s="1"/>
  <c r="E58" i="27"/>
  <c r="CF29" i="19"/>
  <c r="E70" i="27"/>
  <c r="R42" i="25"/>
  <c r="T42" s="1"/>
  <c r="X42" s="1"/>
  <c r="E62" i="27"/>
  <c r="CF31" i="19"/>
  <c r="E72" i="27"/>
  <c r="I7" i="26"/>
  <c r="I44" i="27"/>
  <c r="J44"/>
  <c r="F44"/>
  <c r="E44"/>
  <c r="G44"/>
  <c r="H44"/>
  <c r="F139" i="26"/>
  <c r="F140" s="1"/>
  <c r="D146" s="1"/>
  <c r="B6" i="34" s="1"/>
  <c r="CE52" i="20"/>
  <c r="H101" i="26"/>
  <c r="I101"/>
  <c r="G101"/>
  <c r="CG35" i="20"/>
  <c r="G89" i="26"/>
  <c r="CG48" i="20"/>
  <c r="H98" i="26"/>
  <c r="CG4" i="20"/>
  <c r="G74" i="26"/>
  <c r="H74"/>
  <c r="CG46" i="20"/>
  <c r="G96" i="26"/>
  <c r="H96"/>
  <c r="CM28" i="20"/>
  <c r="H86" i="26"/>
  <c r="CG17" i="20"/>
  <c r="H81" i="26"/>
  <c r="CG20" i="20"/>
  <c r="H83" i="26"/>
  <c r="CM22" i="20"/>
  <c r="G84" i="26"/>
  <c r="CE37" i="20"/>
  <c r="G90" i="26"/>
  <c r="G75"/>
  <c r="H75"/>
  <c r="H77"/>
  <c r="G77"/>
  <c r="CI50" i="20"/>
  <c r="G100" i="26"/>
  <c r="H100"/>
  <c r="I100"/>
  <c r="O38" i="20"/>
  <c r="P38" s="1"/>
  <c r="Q38" s="1"/>
  <c r="R38" s="1"/>
  <c r="H92" i="26"/>
  <c r="M40" i="20"/>
  <c r="CO40" s="1"/>
  <c r="N72" i="25"/>
  <c r="BY60" i="20"/>
  <c r="BY61" s="1"/>
  <c r="BY65" s="1"/>
  <c r="R127" i="24" s="1"/>
  <c r="M9" i="20"/>
  <c r="O9" s="1"/>
  <c r="P9" s="1"/>
  <c r="Q9" s="1"/>
  <c r="R9" s="1"/>
  <c r="N37" i="19"/>
  <c r="CH37" s="1"/>
  <c r="I10" i="26"/>
  <c r="CF34" i="19"/>
  <c r="I8" i="26"/>
  <c r="O36" i="19"/>
  <c r="P36" s="1"/>
  <c r="Q36" s="1"/>
  <c r="R36" s="1"/>
  <c r="I9" i="26"/>
  <c r="V42" i="25"/>
  <c r="M52" i="18"/>
  <c r="CR52" s="1"/>
  <c r="N26" i="25"/>
  <c r="M63" i="18"/>
  <c r="M28" i="25"/>
  <c r="M45" i="18"/>
  <c r="CJ45" s="1"/>
  <c r="N24" i="25"/>
  <c r="M19" i="18"/>
  <c r="M8" i="25"/>
  <c r="M25" i="18"/>
  <c r="K10" i="25"/>
  <c r="M35" i="18"/>
  <c r="N18" i="25"/>
  <c r="M57" i="18"/>
  <c r="M27" i="25"/>
  <c r="M38" i="18"/>
  <c r="N19" i="25"/>
  <c r="M48" i="18"/>
  <c r="CH48" s="1"/>
  <c r="M25" i="25"/>
  <c r="BY57" i="20"/>
  <c r="R27" i="24" s="1"/>
  <c r="F27" s="1"/>
  <c r="S10"/>
  <c r="K32" i="20"/>
  <c r="N32" s="1"/>
  <c r="N36" i="19"/>
  <c r="CH36" s="1"/>
  <c r="K40" i="20"/>
  <c r="M16" i="18"/>
  <c r="Q46" i="24"/>
  <c r="CE48" i="20"/>
  <c r="O50"/>
  <c r="P50" s="1"/>
  <c r="Q50" s="1"/>
  <c r="R50" s="1"/>
  <c r="U60"/>
  <c r="U61" s="1"/>
  <c r="U65" s="1"/>
  <c r="BE60"/>
  <c r="BE61" s="1"/>
  <c r="BE65" s="1"/>
  <c r="AU49" i="19"/>
  <c r="M126" i="24" s="1"/>
  <c r="O4" i="20"/>
  <c r="P4" s="1"/>
  <c r="Q4" s="1"/>
  <c r="R4" s="1"/>
  <c r="P19" i="6"/>
  <c r="Q19" s="1"/>
  <c r="R19" s="1"/>
  <c r="S19" s="1"/>
  <c r="O37" i="19"/>
  <c r="P37" s="1"/>
  <c r="Q37" s="1"/>
  <c r="R37" s="1"/>
  <c r="O31"/>
  <c r="P31" s="1"/>
  <c r="Q31" s="1"/>
  <c r="R31" s="1"/>
  <c r="CF37"/>
  <c r="O17" i="20"/>
  <c r="P17" s="1"/>
  <c r="Q17" s="1"/>
  <c r="R17" s="1"/>
  <c r="CG50"/>
  <c r="O52"/>
  <c r="P52" s="1"/>
  <c r="Q52" s="1"/>
  <c r="R52" s="1"/>
  <c r="O35"/>
  <c r="P35" s="1"/>
  <c r="Q35" s="1"/>
  <c r="R35" s="1"/>
  <c r="O22"/>
  <c r="P22" s="1"/>
  <c r="Q22" s="1"/>
  <c r="R22" s="1"/>
  <c r="O20"/>
  <c r="P20" s="1"/>
  <c r="Q20" s="1"/>
  <c r="R20" s="1"/>
  <c r="CE17"/>
  <c r="N22"/>
  <c r="CQ28"/>
  <c r="O48"/>
  <c r="P48" s="1"/>
  <c r="Q48" s="1"/>
  <c r="R48" s="1"/>
  <c r="CF7" i="19"/>
  <c r="N31"/>
  <c r="CH31" s="1"/>
  <c r="CG52" i="20"/>
  <c r="E32" i="24"/>
  <c r="D32" s="1"/>
  <c r="D11" s="1"/>
  <c r="F11" s="1"/>
  <c r="G11" s="1"/>
  <c r="O14" s="1"/>
  <c r="I33" i="10"/>
  <c r="I36" s="1"/>
  <c r="I40" s="1"/>
  <c r="E52" i="24"/>
  <c r="D52" s="1"/>
  <c r="AS60" i="20"/>
  <c r="AS61" s="1"/>
  <c r="AS65" s="1"/>
  <c r="AM60"/>
  <c r="AM61" s="1"/>
  <c r="AM65" s="1"/>
  <c r="N46"/>
  <c r="N37"/>
  <c r="N50"/>
  <c r="O46"/>
  <c r="P46" s="1"/>
  <c r="Q46" s="1"/>
  <c r="R46" s="1"/>
  <c r="CE46"/>
  <c r="N4"/>
  <c r="O37"/>
  <c r="P37" s="1"/>
  <c r="Q37" s="1"/>
  <c r="R37" s="1"/>
  <c r="CE4"/>
  <c r="H32" i="10"/>
  <c r="H34" s="1"/>
  <c r="E31" i="24"/>
  <c r="D31" s="1"/>
  <c r="D10" s="1"/>
  <c r="F10" s="1"/>
  <c r="G10" s="1"/>
  <c r="O9" s="1"/>
  <c r="M24" i="6"/>
  <c r="K43" i="20"/>
  <c r="N43" s="1"/>
  <c r="K23"/>
  <c r="N23" s="1"/>
  <c r="K12"/>
  <c r="N12" s="1"/>
  <c r="N52"/>
  <c r="N35"/>
  <c r="N20"/>
  <c r="CO28"/>
  <c r="N11" i="19"/>
  <c r="CH11" s="1"/>
  <c r="O34"/>
  <c r="P34" s="1"/>
  <c r="Q34" s="1"/>
  <c r="R34" s="1"/>
  <c r="O38"/>
  <c r="P38" s="1"/>
  <c r="Q38" s="1"/>
  <c r="R38" s="1"/>
  <c r="F66" i="24"/>
  <c r="D66" s="1"/>
  <c r="BE41" i="19"/>
  <c r="O34" i="18"/>
  <c r="P34" s="1"/>
  <c r="Q34" s="1"/>
  <c r="R34" s="1"/>
  <c r="CP34"/>
  <c r="CR34"/>
  <c r="N29" i="19"/>
  <c r="CH29" s="1"/>
  <c r="N25"/>
  <c r="CH25" s="1"/>
  <c r="BW57" i="20"/>
  <c r="M28" i="3"/>
  <c r="CL34" i="18"/>
  <c r="CH34"/>
  <c r="N38" i="19"/>
  <c r="CH38" s="1"/>
  <c r="BK44"/>
  <c r="BK45" s="1"/>
  <c r="BK49" s="1"/>
  <c r="O29"/>
  <c r="P29" s="1"/>
  <c r="Q29" s="1"/>
  <c r="R29" s="1"/>
  <c r="CF25"/>
  <c r="N17" i="20"/>
  <c r="CE35"/>
  <c r="CE20"/>
  <c r="CI52"/>
  <c r="CK28"/>
  <c r="O22" i="3"/>
  <c r="Q42" i="5"/>
  <c r="Q43" s="1"/>
  <c r="Q48" s="1"/>
  <c r="Z69" i="4"/>
  <c r="B5" i="23" s="1"/>
  <c r="CN34" i="18"/>
  <c r="N34"/>
  <c r="CJ34"/>
  <c r="CN7"/>
  <c r="N34" i="19"/>
  <c r="CH34" s="1"/>
  <c r="N48" i="20"/>
  <c r="CS28"/>
  <c r="R36" i="5"/>
  <c r="AC65" i="20"/>
  <c r="J127" i="24" s="1"/>
  <c r="AG44" i="19"/>
  <c r="AG45" s="1"/>
  <c r="AG49" s="1"/>
  <c r="K48" i="18"/>
  <c r="AA79"/>
  <c r="AA80" s="1"/>
  <c r="AA84" s="1"/>
  <c r="AY76"/>
  <c r="CR7"/>
  <c r="CS72"/>
  <c r="AG76"/>
  <c r="O7"/>
  <c r="P7" s="1"/>
  <c r="Q7" s="1"/>
  <c r="R7" s="1"/>
  <c r="CF7"/>
  <c r="CH7"/>
  <c r="CJ7"/>
  <c r="CL7"/>
  <c r="BK57" i="20"/>
  <c r="AA60"/>
  <c r="AA61" s="1"/>
  <c r="AA65" s="1"/>
  <c r="BE57"/>
  <c r="N22" i="3"/>
  <c r="AG41" i="19"/>
  <c r="K57" i="18"/>
  <c r="K19"/>
  <c r="BW76"/>
  <c r="K7"/>
  <c r="N7" s="1"/>
  <c r="BE76"/>
  <c r="F65" i="24"/>
  <c r="D65" s="1"/>
  <c r="BG79" i="18"/>
  <c r="BG80" s="1"/>
  <c r="BG84" s="1"/>
  <c r="O125" i="24" s="1"/>
  <c r="K13" i="19"/>
  <c r="CD13" s="1"/>
  <c r="CF36"/>
  <c r="O11"/>
  <c r="P11" s="1"/>
  <c r="Q11" s="1"/>
  <c r="R11" s="1"/>
  <c r="AG57" i="20"/>
  <c r="AY57"/>
  <c r="CE50"/>
  <c r="CG37"/>
  <c r="CG28"/>
  <c r="CE28"/>
  <c r="Q4" i="2"/>
  <c r="T41" i="5"/>
  <c r="U41" s="1"/>
  <c r="V41" s="1"/>
  <c r="S44"/>
  <c r="T44" s="1"/>
  <c r="U44" s="1"/>
  <c r="V44" s="1"/>
  <c r="AC43"/>
  <c r="B7" i="23" s="1"/>
  <c r="AA43" i="5"/>
  <c r="K63" i="18"/>
  <c r="AS57" i="20"/>
  <c r="AM57"/>
  <c r="O28"/>
  <c r="P28" s="1"/>
  <c r="Q28" s="1"/>
  <c r="R28" s="1"/>
  <c r="BE44" i="19"/>
  <c r="BE45" s="1"/>
  <c r="BE49" s="1"/>
  <c r="AT28" i="2"/>
  <c r="AT27"/>
  <c r="F86" i="24"/>
  <c r="D86" s="1"/>
  <c r="F67"/>
  <c r="D16"/>
  <c r="F16" s="1"/>
  <c r="G16" s="1"/>
  <c r="O11" s="1"/>
  <c r="H36" i="10"/>
  <c r="AC17" i="6"/>
  <c r="P17"/>
  <c r="Q17" s="1"/>
  <c r="R17" s="1"/>
  <c r="S17" s="1"/>
  <c r="P12"/>
  <c r="AC12"/>
  <c r="O12"/>
  <c r="AC16"/>
  <c r="P16"/>
  <c r="Q16" s="1"/>
  <c r="R16" s="1"/>
  <c r="S16" s="1"/>
  <c r="AC18"/>
  <c r="P18"/>
  <c r="Q18" s="1"/>
  <c r="R18" s="1"/>
  <c r="S18" s="1"/>
  <c r="P14"/>
  <c r="Q14" s="1"/>
  <c r="R14" s="1"/>
  <c r="S14" s="1"/>
  <c r="AC14"/>
  <c r="O17"/>
  <c r="N19"/>
  <c r="P15"/>
  <c r="Q15" s="1"/>
  <c r="R15" s="1"/>
  <c r="S15" s="1"/>
  <c r="AC15"/>
  <c r="E28" i="24"/>
  <c r="D28" s="1"/>
  <c r="D7" s="1"/>
  <c r="F7" s="1"/>
  <c r="G7" s="1"/>
  <c r="P63" i="4"/>
  <c r="E48" i="24"/>
  <c r="D48" s="1"/>
  <c r="M66" i="4"/>
  <c r="Q63"/>
  <c r="R63" s="1"/>
  <c r="S63" s="1"/>
  <c r="T63" s="1"/>
  <c r="X69"/>
  <c r="B3" i="23" s="1"/>
  <c r="F3" s="1"/>
  <c r="Q64" i="4"/>
  <c r="R64" s="1"/>
  <c r="S64" s="1"/>
  <c r="T64" s="1"/>
  <c r="AB69"/>
  <c r="P43" i="5"/>
  <c r="S43"/>
  <c r="T7"/>
  <c r="U7" s="1"/>
  <c r="V7" s="1"/>
  <c r="AH25"/>
  <c r="AH43" s="1"/>
  <c r="AH45"/>
  <c r="AE43"/>
  <c r="AE45"/>
  <c r="C11" i="23" s="1"/>
  <c r="P46" i="5"/>
  <c r="E87" i="24" s="1"/>
  <c r="E67"/>
  <c r="S42" i="5"/>
  <c r="T42" s="1"/>
  <c r="U42" s="1"/>
  <c r="V42" s="1"/>
  <c r="N23" i="3"/>
  <c r="N28" s="1"/>
  <c r="P23"/>
  <c r="Q15"/>
  <c r="R15" s="1"/>
  <c r="S15" s="1"/>
  <c r="P22"/>
  <c r="Q22" s="1"/>
  <c r="R22" s="1"/>
  <c r="S22" s="1"/>
  <c r="V40" i="2"/>
  <c r="W40" s="1"/>
  <c r="X40" s="1"/>
  <c r="Q40"/>
  <c r="AT8"/>
  <c r="AG46"/>
  <c r="B8" i="23" s="1"/>
  <c r="F8" s="1"/>
  <c r="AD11" i="2"/>
  <c r="Q11"/>
  <c r="AT14"/>
  <c r="AI46"/>
  <c r="B9" i="23" s="1"/>
  <c r="AK46" i="2"/>
  <c r="B10" i="23" s="1"/>
  <c r="AT29" i="2"/>
  <c r="V8"/>
  <c r="W8" s="1"/>
  <c r="X8" s="1"/>
  <c r="U41"/>
  <c r="AQ46"/>
  <c r="B13" i="23" s="1"/>
  <c r="AT35" i="2"/>
  <c r="AT23"/>
  <c r="AM46"/>
  <c r="S14"/>
  <c r="Q14"/>
  <c r="T14" s="1"/>
  <c r="AT30"/>
  <c r="AO46"/>
  <c r="B12" i="23" s="1"/>
  <c r="O63" i="20"/>
  <c r="P63" s="1"/>
  <c r="Q63" s="1"/>
  <c r="R63" s="1"/>
  <c r="I87" i="24"/>
  <c r="F87" s="1"/>
  <c r="BM65" i="20"/>
  <c r="P127" i="24" s="1"/>
  <c r="P47"/>
  <c r="BG65" i="20"/>
  <c r="O127" i="24" s="1"/>
  <c r="O47"/>
  <c r="AA57" i="20"/>
  <c r="BQ60"/>
  <c r="BQ61" s="1"/>
  <c r="BQ65" s="1"/>
  <c r="AY60"/>
  <c r="AY61" s="1"/>
  <c r="AY65" s="1"/>
  <c r="K5"/>
  <c r="N5" s="1"/>
  <c r="AG60"/>
  <c r="AG61" s="1"/>
  <c r="AG65" s="1"/>
  <c r="BK60"/>
  <c r="BK61" s="1"/>
  <c r="BK65" s="1"/>
  <c r="U57"/>
  <c r="BQ57"/>
  <c r="BA65"/>
  <c r="N127" i="24" s="1"/>
  <c r="CG43" i="20"/>
  <c r="CE43"/>
  <c r="CM43"/>
  <c r="O43"/>
  <c r="P43" s="1"/>
  <c r="Q43" s="1"/>
  <c r="R43" s="1"/>
  <c r="CO43"/>
  <c r="M47" i="24"/>
  <c r="AU65" i="20"/>
  <c r="M127" i="24" s="1"/>
  <c r="O5" i="20"/>
  <c r="P5" s="1"/>
  <c r="Q5" s="1"/>
  <c r="R5" s="1"/>
  <c r="CE5"/>
  <c r="CG5"/>
  <c r="BS65"/>
  <c r="Q127" i="24" s="1"/>
  <c r="Q47"/>
  <c r="W61" i="20"/>
  <c r="K28"/>
  <c r="N28" s="1"/>
  <c r="BW60"/>
  <c r="BW61" s="1"/>
  <c r="BW65" s="1"/>
  <c r="K9"/>
  <c r="CE32"/>
  <c r="CG32"/>
  <c r="CM32"/>
  <c r="O32"/>
  <c r="P32" s="1"/>
  <c r="Q32" s="1"/>
  <c r="R32" s="1"/>
  <c r="AO65"/>
  <c r="L127" i="24" s="1"/>
  <c r="L47"/>
  <c r="CQ23" i="20"/>
  <c r="CG23"/>
  <c r="CE23"/>
  <c r="CS23"/>
  <c r="CK23"/>
  <c r="O23"/>
  <c r="P23" s="1"/>
  <c r="Q23" s="1"/>
  <c r="R23" s="1"/>
  <c r="CO23"/>
  <c r="CM23"/>
  <c r="AI65"/>
  <c r="K127" i="24" s="1"/>
  <c r="K47"/>
  <c r="O12" i="20"/>
  <c r="P12" s="1"/>
  <c r="Q12" s="1"/>
  <c r="R12" s="1"/>
  <c r="CG12"/>
  <c r="CE12"/>
  <c r="O46" i="24"/>
  <c r="BG49" i="19"/>
  <c r="O126" i="24" s="1"/>
  <c r="O45" i="19"/>
  <c r="W49"/>
  <c r="I46" i="24"/>
  <c r="O19" i="19"/>
  <c r="P19" s="1"/>
  <c r="Q19" s="1"/>
  <c r="R19" s="1"/>
  <c r="CF19"/>
  <c r="BM49"/>
  <c r="P126" i="24" s="1"/>
  <c r="P46"/>
  <c r="M41" i="19"/>
  <c r="O4"/>
  <c r="M42"/>
  <c r="CF4"/>
  <c r="U44"/>
  <c r="U45" s="1"/>
  <c r="U49" s="1"/>
  <c r="U41"/>
  <c r="AA44"/>
  <c r="AA45" s="1"/>
  <c r="AA49" s="1"/>
  <c r="AA41"/>
  <c r="CF13"/>
  <c r="O13"/>
  <c r="P13" s="1"/>
  <c r="Q13" s="1"/>
  <c r="R13" s="1"/>
  <c r="O22"/>
  <c r="P22" s="1"/>
  <c r="Q22" s="1"/>
  <c r="R22" s="1"/>
  <c r="CF22"/>
  <c r="K46" i="24"/>
  <c r="AI49" i="19"/>
  <c r="K126" i="24" s="1"/>
  <c r="K22" i="19"/>
  <c r="CD22" s="1"/>
  <c r="O44"/>
  <c r="AM44"/>
  <c r="AM45" s="1"/>
  <c r="AM49" s="1"/>
  <c r="AS41"/>
  <c r="AS44"/>
  <c r="AS45" s="1"/>
  <c r="AS49" s="1"/>
  <c r="AY44"/>
  <c r="AY45" s="1"/>
  <c r="AY49" s="1"/>
  <c r="AY41"/>
  <c r="K19"/>
  <c r="CD19" s="1"/>
  <c r="K7"/>
  <c r="BQ41"/>
  <c r="BQ44"/>
  <c r="BQ45" s="1"/>
  <c r="BQ49" s="1"/>
  <c r="K4"/>
  <c r="CD4" s="1"/>
  <c r="BW41"/>
  <c r="BW44"/>
  <c r="BW45" s="1"/>
  <c r="BW49" s="1"/>
  <c r="AO49"/>
  <c r="L126" i="24" s="1"/>
  <c r="L46"/>
  <c r="BA49" i="19"/>
  <c r="N126" i="24" s="1"/>
  <c r="N46"/>
  <c r="AC49" i="19"/>
  <c r="J126" i="24" s="1"/>
  <c r="J46"/>
  <c r="BY49" i="19"/>
  <c r="R126" i="24" s="1"/>
  <c r="R46"/>
  <c r="O47" i="19"/>
  <c r="P47" s="1"/>
  <c r="Q47" s="1"/>
  <c r="R47" s="1"/>
  <c r="CR10" i="18"/>
  <c r="O10"/>
  <c r="P10" s="1"/>
  <c r="Q10" s="1"/>
  <c r="R10" s="1"/>
  <c r="O28"/>
  <c r="P28" s="1"/>
  <c r="Q28" s="1"/>
  <c r="R28" s="1"/>
  <c r="CF28"/>
  <c r="CS28" s="1"/>
  <c r="CR28"/>
  <c r="N28"/>
  <c r="AM79"/>
  <c r="AM80" s="1"/>
  <c r="AM84" s="1"/>
  <c r="AM76"/>
  <c r="AS79"/>
  <c r="AS80" s="1"/>
  <c r="AS84" s="1"/>
  <c r="AS76"/>
  <c r="AO84"/>
  <c r="L125" i="24" s="1"/>
  <c r="L45"/>
  <c r="AI84" i="18"/>
  <c r="K125" i="24" s="1"/>
  <c r="K45"/>
  <c r="AU84" i="18"/>
  <c r="M125" i="24" s="1"/>
  <c r="M45"/>
  <c r="CP4" i="18"/>
  <c r="CH4"/>
  <c r="CR4"/>
  <c r="CJ4"/>
  <c r="O4"/>
  <c r="CN4"/>
  <c r="CL4"/>
  <c r="CF4"/>
  <c r="CN22"/>
  <c r="CF22"/>
  <c r="CP22"/>
  <c r="CH22"/>
  <c r="CR22"/>
  <c r="CJ22"/>
  <c r="O22"/>
  <c r="P22" s="1"/>
  <c r="Q22" s="1"/>
  <c r="R22" s="1"/>
  <c r="CL22"/>
  <c r="BK79"/>
  <c r="BK80" s="1"/>
  <c r="BK84" s="1"/>
  <c r="BK76"/>
  <c r="CR43"/>
  <c r="CJ43"/>
  <c r="O43"/>
  <c r="P43" s="1"/>
  <c r="Q43" s="1"/>
  <c r="R43" s="1"/>
  <c r="CL43"/>
  <c r="CN43"/>
  <c r="CF43"/>
  <c r="CH43"/>
  <c r="N43"/>
  <c r="CP43"/>
  <c r="BQ79"/>
  <c r="BQ80" s="1"/>
  <c r="BQ84" s="1"/>
  <c r="BQ76"/>
  <c r="CL30"/>
  <c r="CN30"/>
  <c r="CF30"/>
  <c r="CP30"/>
  <c r="CH30"/>
  <c r="N30"/>
  <c r="CJ30"/>
  <c r="CR30"/>
  <c r="O30"/>
  <c r="P30" s="1"/>
  <c r="Q30" s="1"/>
  <c r="R30" s="1"/>
  <c r="BA84"/>
  <c r="N125" i="24" s="1"/>
  <c r="N45"/>
  <c r="W80" i="18"/>
  <c r="K45"/>
  <c r="K35"/>
  <c r="AY79"/>
  <c r="AY80" s="1"/>
  <c r="AY84" s="1"/>
  <c r="AA76"/>
  <c r="K10"/>
  <c r="N10" s="1"/>
  <c r="BS76"/>
  <c r="BG76"/>
  <c r="K52"/>
  <c r="K38"/>
  <c r="BW79"/>
  <c r="BW80" s="1"/>
  <c r="BW84" s="1"/>
  <c r="CS15"/>
  <c r="BE79"/>
  <c r="BE80" s="1"/>
  <c r="BE84" s="1"/>
  <c r="BS79"/>
  <c r="BS80" s="1"/>
  <c r="CL32"/>
  <c r="CN32"/>
  <c r="CF32"/>
  <c r="CP32"/>
  <c r="CH32"/>
  <c r="N32"/>
  <c r="CR32"/>
  <c r="O32"/>
  <c r="P32" s="1"/>
  <c r="Q32" s="1"/>
  <c r="R32" s="1"/>
  <c r="CJ32"/>
  <c r="CR41"/>
  <c r="CJ41"/>
  <c r="O41"/>
  <c r="P41" s="1"/>
  <c r="Q41" s="1"/>
  <c r="R41" s="1"/>
  <c r="CL41"/>
  <c r="CN41"/>
  <c r="CF41"/>
  <c r="CP41"/>
  <c r="CH41"/>
  <c r="N41"/>
  <c r="BM84"/>
  <c r="P125" i="24" s="1"/>
  <c r="P45"/>
  <c r="J125"/>
  <c r="J45"/>
  <c r="CS66" i="18"/>
  <c r="K25"/>
  <c r="AG79"/>
  <c r="AG80" s="1"/>
  <c r="AG84" s="1"/>
  <c r="BY79"/>
  <c r="BY80" s="1"/>
  <c r="CR70"/>
  <c r="CJ70"/>
  <c r="O70"/>
  <c r="P70" s="1"/>
  <c r="Q70" s="1"/>
  <c r="R70" s="1"/>
  <c r="CL70"/>
  <c r="CN70"/>
  <c r="CF70"/>
  <c r="CP70"/>
  <c r="CH70"/>
  <c r="N70"/>
  <c r="U79"/>
  <c r="U80" s="1"/>
  <c r="U84" s="1"/>
  <c r="U76"/>
  <c r="CL67"/>
  <c r="CN67"/>
  <c r="CF67"/>
  <c r="CP67"/>
  <c r="CH67"/>
  <c r="N67"/>
  <c r="CJ67"/>
  <c r="CR67"/>
  <c r="O67"/>
  <c r="P67" s="1"/>
  <c r="Q67" s="1"/>
  <c r="R67" s="1"/>
  <c r="K16"/>
  <c r="CS14"/>
  <c r="K4"/>
  <c r="N4" s="1"/>
  <c r="K22"/>
  <c r="N22" s="1"/>
  <c r="BY76"/>
  <c r="E27" i="24"/>
  <c r="S15"/>
  <c r="R15"/>
  <c r="CF52" i="18" l="1"/>
  <c r="CS52" s="1"/>
  <c r="U39" i="2"/>
  <c r="V39" s="1"/>
  <c r="W39" s="1"/>
  <c r="X39" s="1"/>
  <c r="CE9" i="20"/>
  <c r="CE58" s="1"/>
  <c r="D6" i="23" s="1"/>
  <c r="O38" i="18"/>
  <c r="P38" s="1"/>
  <c r="Q38" s="1"/>
  <c r="R38" s="1"/>
  <c r="E31" i="27"/>
  <c r="CF35" i="18"/>
  <c r="CS35" s="1"/>
  <c r="E30" i="27"/>
  <c r="CR19" i="18"/>
  <c r="H20" i="27"/>
  <c r="I20"/>
  <c r="J20"/>
  <c r="F20"/>
  <c r="G20"/>
  <c r="CP63" i="18"/>
  <c r="E35" i="27"/>
  <c r="E38"/>
  <c r="O16" i="18"/>
  <c r="P16" s="1"/>
  <c r="Q16" s="1"/>
  <c r="R16" s="1"/>
  <c r="H19" i="27"/>
  <c r="I19"/>
  <c r="G19"/>
  <c r="CJ57" i="18"/>
  <c r="G37" i="27"/>
  <c r="H37"/>
  <c r="I37"/>
  <c r="J37"/>
  <c r="F37"/>
  <c r="CN25" i="18"/>
  <c r="F22" i="27"/>
  <c r="R45" i="2"/>
  <c r="M58" i="20"/>
  <c r="M57"/>
  <c r="CF38" i="18"/>
  <c r="CS38" s="1"/>
  <c r="T38" i="2"/>
  <c r="V16"/>
  <c r="W16" s="1"/>
  <c r="X16" s="1"/>
  <c r="O60" i="20"/>
  <c r="N40"/>
  <c r="CH25" i="18"/>
  <c r="CP57"/>
  <c r="H84" i="27"/>
  <c r="G84"/>
  <c r="R47" i="24"/>
  <c r="CP48" i="18"/>
  <c r="I139" i="26"/>
  <c r="I140" s="1"/>
  <c r="D148" s="1"/>
  <c r="B9" i="34" s="1"/>
  <c r="CJ19" i="18"/>
  <c r="CH63"/>
  <c r="O40" i="20"/>
  <c r="P40" s="1"/>
  <c r="Q40" s="1"/>
  <c r="R40" s="1"/>
  <c r="G93" i="26"/>
  <c r="G139" s="1"/>
  <c r="G140" s="1"/>
  <c r="D149" s="1"/>
  <c r="B10" i="34" s="1"/>
  <c r="CI58" i="20"/>
  <c r="H139" i="26"/>
  <c r="H140" s="1"/>
  <c r="D147" s="1"/>
  <c r="B7" i="34" s="1"/>
  <c r="CG9" i="20"/>
  <c r="CG58" s="1"/>
  <c r="D7" i="23" s="1"/>
  <c r="F7" s="1"/>
  <c r="N9" i="20"/>
  <c r="CF25" i="18"/>
  <c r="CF57"/>
  <c r="CN48"/>
  <c r="CJ25"/>
  <c r="CR57"/>
  <c r="O52"/>
  <c r="P52" s="1"/>
  <c r="Q52" s="1"/>
  <c r="R52" s="1"/>
  <c r="CR48"/>
  <c r="CR45"/>
  <c r="CL25"/>
  <c r="N25"/>
  <c r="O57"/>
  <c r="P57" s="1"/>
  <c r="Q57" s="1"/>
  <c r="R57" s="1"/>
  <c r="N52"/>
  <c r="O48"/>
  <c r="P48" s="1"/>
  <c r="Q48" s="1"/>
  <c r="R48" s="1"/>
  <c r="CF45"/>
  <c r="CS45" s="1"/>
  <c r="CR25"/>
  <c r="CP25"/>
  <c r="CL57"/>
  <c r="CH57"/>
  <c r="CR35"/>
  <c r="N45"/>
  <c r="CF48"/>
  <c r="CJ48"/>
  <c r="O45"/>
  <c r="P45" s="1"/>
  <c r="Q45" s="1"/>
  <c r="R45" s="1"/>
  <c r="N57"/>
  <c r="N48"/>
  <c r="O25"/>
  <c r="P25" s="1"/>
  <c r="Q25" s="1"/>
  <c r="R25" s="1"/>
  <c r="CN57"/>
  <c r="CL48"/>
  <c r="CN19"/>
  <c r="CL63"/>
  <c r="S48" i="25"/>
  <c r="J41" s="1"/>
  <c r="J96" s="1"/>
  <c r="J97" s="1"/>
  <c r="J101" s="1"/>
  <c r="D113" s="1"/>
  <c r="F10" i="34" s="1"/>
  <c r="S47" i="25"/>
  <c r="I41" s="1"/>
  <c r="I96" s="1"/>
  <c r="I97" s="1"/>
  <c r="I101" s="1"/>
  <c r="D110" s="1"/>
  <c r="F7" i="34" s="1"/>
  <c r="S46" i="25"/>
  <c r="H41" s="1"/>
  <c r="H96" s="1"/>
  <c r="H97" s="1"/>
  <c r="H101" s="1"/>
  <c r="D106" s="1"/>
  <c r="F3" i="34" s="1"/>
  <c r="S45" i="25"/>
  <c r="S44"/>
  <c r="F41" s="1"/>
  <c r="F96" s="1"/>
  <c r="F97" s="1"/>
  <c r="F101" s="1"/>
  <c r="D114" s="1"/>
  <c r="F11" i="34" s="1"/>
  <c r="S52" i="25"/>
  <c r="N41" s="1"/>
  <c r="N96" s="1"/>
  <c r="N97" s="1"/>
  <c r="N101" s="1"/>
  <c r="D108" s="1"/>
  <c r="F5" i="34" s="1"/>
  <c r="S43" i="25"/>
  <c r="E41" s="1"/>
  <c r="E96" s="1"/>
  <c r="E97" s="1"/>
  <c r="E101" s="1"/>
  <c r="D105" s="1"/>
  <c r="F2" i="34" s="1"/>
  <c r="S51" i="25"/>
  <c r="M41" s="1"/>
  <c r="M96" s="1"/>
  <c r="M97" s="1"/>
  <c r="M101" s="1"/>
  <c r="D109" s="1"/>
  <c r="F6" i="34" s="1"/>
  <c r="S50" i="25"/>
  <c r="L41" s="1"/>
  <c r="L96" s="1"/>
  <c r="L97" s="1"/>
  <c r="L101" s="1"/>
  <c r="D107" s="1"/>
  <c r="F4" i="34" s="1"/>
  <c r="S49" i="25"/>
  <c r="K41" s="1"/>
  <c r="K96" s="1"/>
  <c r="K97" s="1"/>
  <c r="K101" s="1"/>
  <c r="D111" s="1"/>
  <c r="F8" i="34" s="1"/>
  <c r="CR38" i="18"/>
  <c r="O19"/>
  <c r="P19" s="1"/>
  <c r="Q19" s="1"/>
  <c r="R19" s="1"/>
  <c r="CP19"/>
  <c r="CF63"/>
  <c r="CR63"/>
  <c r="O35"/>
  <c r="P35" s="1"/>
  <c r="Q35" s="1"/>
  <c r="R35" s="1"/>
  <c r="N38"/>
  <c r="CL19"/>
  <c r="CH19"/>
  <c r="CN63"/>
  <c r="CJ63"/>
  <c r="N35"/>
  <c r="CF19"/>
  <c r="O63"/>
  <c r="P63" s="1"/>
  <c r="Q63" s="1"/>
  <c r="R63" s="1"/>
  <c r="N63"/>
  <c r="N19"/>
  <c r="R9" i="24"/>
  <c r="S9"/>
  <c r="CP16" i="18"/>
  <c r="CJ16"/>
  <c r="CL16"/>
  <c r="N16"/>
  <c r="CF16"/>
  <c r="CN16"/>
  <c r="CR16"/>
  <c r="M77"/>
  <c r="CH16"/>
  <c r="CQ58" i="20"/>
  <c r="CS58"/>
  <c r="CK58"/>
  <c r="R14" i="24"/>
  <c r="S14"/>
  <c r="B6" i="23"/>
  <c r="N13" i="19"/>
  <c r="CH13" s="1"/>
  <c r="CM58" i="20"/>
  <c r="N4" i="19"/>
  <c r="CH4" s="1"/>
  <c r="D27" i="24"/>
  <c r="D6" s="1"/>
  <c r="F6" s="1"/>
  <c r="G6" s="1"/>
  <c r="O7" s="1"/>
  <c r="D67"/>
  <c r="D74" s="1"/>
  <c r="D78" s="1"/>
  <c r="D80" s="1"/>
  <c r="D62" s="1"/>
  <c r="CS34" i="18"/>
  <c r="O45" i="24"/>
  <c r="R42" i="5"/>
  <c r="CS7" i="18"/>
  <c r="CS70"/>
  <c r="B11" i="23"/>
  <c r="AC26" i="6"/>
  <c r="AC29" s="1"/>
  <c r="G4" i="23" s="1"/>
  <c r="N22" i="19"/>
  <c r="CH22" s="1"/>
  <c r="O79" i="18"/>
  <c r="CO58" i="20"/>
  <c r="D87" i="24"/>
  <c r="D94" s="1"/>
  <c r="D98" s="1"/>
  <c r="D100" s="1"/>
  <c r="H40" i="10"/>
  <c r="R11" i="24"/>
  <c r="S11"/>
  <c r="N20" i="6"/>
  <c r="N24" s="1"/>
  <c r="O19"/>
  <c r="Q12"/>
  <c r="R12" s="1"/>
  <c r="S12" s="1"/>
  <c r="P20"/>
  <c r="Q66" i="4"/>
  <c r="R66" s="1"/>
  <c r="S66" s="1"/>
  <c r="T66" s="1"/>
  <c r="E128" i="24"/>
  <c r="D128" s="1"/>
  <c r="P48" i="5"/>
  <c r="E47" i="24"/>
  <c r="T43" i="5"/>
  <c r="U43" s="1"/>
  <c r="V43" s="1"/>
  <c r="E127" i="24"/>
  <c r="Q23" i="3"/>
  <c r="R23" s="1"/>
  <c r="S23" s="1"/>
  <c r="E126" i="24"/>
  <c r="L23" i="3"/>
  <c r="AD14" i="2"/>
  <c r="S38"/>
  <c r="V41"/>
  <c r="W41" s="1"/>
  <c r="X41" s="1"/>
  <c r="Q41"/>
  <c r="O61" i="20"/>
  <c r="W65"/>
  <c r="I47" i="24"/>
  <c r="F46"/>
  <c r="D46" s="1"/>
  <c r="CD52" i="19"/>
  <c r="N19"/>
  <c r="CH19" s="1"/>
  <c r="CD7"/>
  <c r="CF52" s="1"/>
  <c r="N7"/>
  <c r="CH7" s="1"/>
  <c r="O41"/>
  <c r="P41" s="1"/>
  <c r="Q41" s="1"/>
  <c r="R41" s="1"/>
  <c r="P4"/>
  <c r="Q4" s="1"/>
  <c r="R4" s="1"/>
  <c r="O42"/>
  <c r="P42" s="1"/>
  <c r="Q42" s="1"/>
  <c r="R42" s="1"/>
  <c r="O49"/>
  <c r="I126" i="24"/>
  <c r="F126" s="1"/>
  <c r="CS4" i="18"/>
  <c r="P4"/>
  <c r="Q4" s="1"/>
  <c r="R4" s="1"/>
  <c r="R45" i="24"/>
  <c r="BY84" i="18"/>
  <c r="R125" i="24" s="1"/>
  <c r="CS41" i="18"/>
  <c r="CS32"/>
  <c r="CS30"/>
  <c r="CS43"/>
  <c r="BS84"/>
  <c r="Q125" i="24" s="1"/>
  <c r="Q45"/>
  <c r="CS67" i="18"/>
  <c r="CS22"/>
  <c r="W84"/>
  <c r="O80"/>
  <c r="I45" i="24"/>
  <c r="E26"/>
  <c r="I26" s="1"/>
  <c r="Q39" i="2" l="1"/>
  <c r="E125" i="24"/>
  <c r="J89" i="27"/>
  <c r="J90" s="1"/>
  <c r="D94" s="1"/>
  <c r="B4" i="34" s="1"/>
  <c r="I89" i="27"/>
  <c r="I90" s="1"/>
  <c r="D93" s="1"/>
  <c r="B3" i="34" s="1"/>
  <c r="E89" i="27"/>
  <c r="E90" s="1"/>
  <c r="D95" s="1"/>
  <c r="B5" i="34" s="1"/>
  <c r="F89" i="27"/>
  <c r="F90" s="1"/>
  <c r="D98" s="1"/>
  <c r="B12" i="34" s="1"/>
  <c r="H89" i="27"/>
  <c r="H90" s="1"/>
  <c r="D97" s="1"/>
  <c r="B11" i="34" s="1"/>
  <c r="G89" i="27"/>
  <c r="G90" s="1"/>
  <c r="D96" s="1"/>
  <c r="B8" i="34" s="1"/>
  <c r="N57" i="20"/>
  <c r="CS25" i="18"/>
  <c r="F47" i="24"/>
  <c r="D47" s="1"/>
  <c r="CO87" i="18"/>
  <c r="CS57"/>
  <c r="CQ87"/>
  <c r="O57" i="20"/>
  <c r="P57" s="1"/>
  <c r="Q57" s="1"/>
  <c r="R57" s="1"/>
  <c r="O58"/>
  <c r="P58" s="1"/>
  <c r="Q58" s="1"/>
  <c r="R58" s="1"/>
  <c r="CS48" i="18"/>
  <c r="O76"/>
  <c r="P76" s="1"/>
  <c r="Q76" s="1"/>
  <c r="R76" s="1"/>
  <c r="O77"/>
  <c r="P77" s="1"/>
  <c r="Q77" s="1"/>
  <c r="R77" s="1"/>
  <c r="CI87"/>
  <c r="D10" i="23" s="1"/>
  <c r="F10" s="1"/>
  <c r="CS63" i="18"/>
  <c r="CS19"/>
  <c r="CK87"/>
  <c r="D11" i="23" s="1"/>
  <c r="F11" s="1"/>
  <c r="CG87" i="18"/>
  <c r="D9" i="23" s="1"/>
  <c r="F9" s="1"/>
  <c r="CE87" i="18"/>
  <c r="CS16"/>
  <c r="CM87"/>
  <c r="D12" i="23" s="1"/>
  <c r="F12" s="1"/>
  <c r="D13"/>
  <c r="F13" s="1"/>
  <c r="F6"/>
  <c r="D82" i="24"/>
  <c r="C143" s="1"/>
  <c r="D126"/>
  <c r="D5" i="23"/>
  <c r="F5" s="1"/>
  <c r="D8"/>
  <c r="F45" i="24"/>
  <c r="D45" s="1"/>
  <c r="Q20" i="6"/>
  <c r="R20" s="1"/>
  <c r="S20" s="1"/>
  <c r="E131" i="24"/>
  <c r="D131" s="1"/>
  <c r="O65" i="20"/>
  <c r="I127" i="24"/>
  <c r="F127" s="1"/>
  <c r="D127" s="1"/>
  <c r="O84" i="18"/>
  <c r="I125" i="24"/>
  <c r="F125" s="1"/>
  <c r="J26"/>
  <c r="K26" s="1"/>
  <c r="L26" s="1"/>
  <c r="M26" s="1"/>
  <c r="N26" s="1"/>
  <c r="O26" s="1"/>
  <c r="P26" s="1"/>
  <c r="Q26" s="1"/>
  <c r="R26" s="1"/>
  <c r="E25" s="1"/>
  <c r="I25" s="1"/>
  <c r="S7"/>
  <c r="R7"/>
  <c r="D125" l="1"/>
  <c r="D134" s="1"/>
  <c r="C145" s="1"/>
  <c r="D54"/>
  <c r="D58" s="1"/>
  <c r="D60" s="1"/>
  <c r="D42" s="1"/>
  <c r="J25"/>
  <c r="K25" s="1"/>
  <c r="L25" s="1"/>
  <c r="M25" s="1"/>
  <c r="N25" s="1"/>
  <c r="O25" s="1"/>
  <c r="P25" s="1"/>
  <c r="Q25" s="1"/>
  <c r="R25" s="1"/>
  <c r="F26"/>
  <c r="D26" s="1"/>
  <c r="D5" s="1"/>
  <c r="F5" s="1"/>
  <c r="G5" s="1"/>
  <c r="O6" s="1"/>
  <c r="F25" l="1"/>
  <c r="D25" s="1"/>
  <c r="D4" s="1"/>
  <c r="F4" s="1"/>
  <c r="F22"/>
  <c r="D138"/>
  <c r="D140" s="1"/>
  <c r="D122" s="1"/>
  <c r="S6"/>
  <c r="R6"/>
  <c r="G4" l="1"/>
  <c r="O5" s="1"/>
  <c r="D34"/>
  <c r="O12" l="1"/>
  <c r="Q12" s="1"/>
  <c r="S5"/>
  <c r="Q5" s="1"/>
  <c r="R5"/>
  <c r="D13"/>
  <c r="D38"/>
  <c r="Q6" l="1"/>
  <c r="Q7" s="1"/>
  <c r="Q8" s="1"/>
  <c r="Q9" s="1"/>
  <c r="Q10" s="1"/>
  <c r="Q11" s="1"/>
  <c r="D40"/>
  <c r="D17"/>
  <c r="D22" l="1"/>
  <c r="E22" s="1"/>
  <c r="D19"/>
  <c r="F19" s="1"/>
  <c r="Q15"/>
  <c r="Q14" s="1"/>
</calcChain>
</file>

<file path=xl/comments1.xml><?xml version="1.0" encoding="utf-8"?>
<comments xmlns="http://schemas.openxmlformats.org/spreadsheetml/2006/main">
  <authors>
    <author>徐梦薇/Mengwei Xu</author>
  </authors>
  <commentList>
    <comment ref="B41" authorId="0">
      <text>
        <r>
          <rPr>
            <b/>
            <sz val="9"/>
            <color indexed="81"/>
            <rFont val="宋体"/>
            <family val="3"/>
            <charset val="134"/>
          </rPr>
          <t>徐梦薇</t>
        </r>
        <r>
          <rPr>
            <b/>
            <sz val="9"/>
            <color indexed="81"/>
            <rFont val="Tahoma"/>
            <family val="2"/>
          </rPr>
          <t>/Mengwei Xu:</t>
        </r>
        <r>
          <rPr>
            <sz val="9"/>
            <color indexed="81"/>
            <rFont val="Tahoma"/>
            <family val="2"/>
          </rPr>
          <t xml:space="preserve">
10</t>
        </r>
        <r>
          <rPr>
            <sz val="9"/>
            <color indexed="81"/>
            <rFont val="宋体"/>
            <family val="3"/>
            <charset val="134"/>
          </rPr>
          <t xml:space="preserve">家分公司排序
</t>
        </r>
      </text>
    </comment>
    <comment ref="B8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每季度找</t>
        </r>
        <r>
          <rPr>
            <sz val="9"/>
            <color indexed="81"/>
            <rFont val="Tahoma"/>
            <family val="2"/>
          </rPr>
          <t>HR</t>
        </r>
        <r>
          <rPr>
            <sz val="9"/>
            <color indexed="81"/>
            <rFont val="宋体"/>
            <family val="3"/>
            <charset val="134"/>
          </rPr>
          <t>王晨提供追责台账</t>
        </r>
      </text>
    </comment>
    <comment ref="B8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从台账中手动添加
</t>
        </r>
      </text>
    </comment>
    <comment ref="B8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从台账中手动添加
</t>
        </r>
      </text>
    </comment>
  </commentList>
</comments>
</file>

<file path=xl/comments2.xml><?xml version="1.0" encoding="utf-8"?>
<comments xmlns="http://schemas.openxmlformats.org/spreadsheetml/2006/main">
  <authors>
    <author>徐梦薇/Mengwei Xu</author>
  </authors>
  <commentList>
    <comment ref="B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t>
        </r>
        <r>
          <rPr>
            <sz val="9"/>
            <color indexed="81"/>
            <rFont val="Tahoma"/>
            <family val="2"/>
          </rPr>
          <t>HR</t>
        </r>
        <r>
          <rPr>
            <sz val="9"/>
            <color indexed="81"/>
            <rFont val="宋体"/>
            <family val="3"/>
            <charset val="134"/>
          </rPr>
          <t>提供分公司数据得出结论</t>
        </r>
      </text>
    </comment>
    <comment ref="B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查台账</t>
        </r>
      </text>
    </comment>
    <comment ref="B3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根据客服提供数据得出</t>
        </r>
      </text>
    </comment>
    <comment ref="B3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根据客服提供数据得出</t>
        </r>
      </text>
    </comment>
    <comment ref="B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找财务刘敏和</t>
        </r>
        <r>
          <rPr>
            <sz val="9"/>
            <color indexed="81"/>
            <rFont val="Tahoma"/>
            <family val="2"/>
          </rPr>
          <t>IT</t>
        </r>
        <r>
          <rPr>
            <sz val="9"/>
            <color indexed="81"/>
            <rFont val="宋体"/>
            <family val="3"/>
            <charset val="134"/>
          </rPr>
          <t xml:space="preserve">刷数
</t>
        </r>
      </text>
    </comment>
    <comment ref="B8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查台账</t>
        </r>
      </text>
    </comment>
  </commentList>
</comments>
</file>

<file path=xl/comments3.xml><?xml version="1.0" encoding="utf-8"?>
<comments xmlns="http://schemas.openxmlformats.org/spreadsheetml/2006/main">
  <authors>
    <author>徐梦薇/Mengwei Xu</author>
  </authors>
  <commentList>
    <comment ref="G8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江苏</t>
        </r>
      </text>
    </comment>
    <comment ref="G88" authorId="0">
      <text>
        <r>
          <rPr>
            <b/>
            <sz val="9"/>
            <color indexed="81"/>
            <rFont val="宋体"/>
            <family val="3"/>
            <charset val="134"/>
          </rPr>
          <t>徐梦薇</t>
        </r>
        <r>
          <rPr>
            <b/>
            <sz val="9"/>
            <color indexed="81"/>
            <rFont val="Tahoma"/>
            <family val="2"/>
          </rPr>
          <t>/Mengwei Xu:</t>
        </r>
        <r>
          <rPr>
            <sz val="9"/>
            <color indexed="81"/>
            <rFont val="Tahoma"/>
            <family val="2"/>
          </rPr>
          <t xml:space="preserve">
TJ
</t>
        </r>
      </text>
    </comment>
    <comment ref="H91" authorId="0">
      <text>
        <r>
          <rPr>
            <b/>
            <sz val="9"/>
            <color indexed="81"/>
            <rFont val="宋体"/>
            <family val="3"/>
            <charset val="134"/>
          </rPr>
          <t>徐梦薇</t>
        </r>
        <r>
          <rPr>
            <b/>
            <sz val="9"/>
            <color indexed="81"/>
            <rFont val="Tahoma"/>
            <family val="2"/>
          </rPr>
          <t>/Mengwei Xu:</t>
        </r>
        <r>
          <rPr>
            <sz val="9"/>
            <color indexed="81"/>
            <rFont val="Tahoma"/>
            <family val="2"/>
          </rPr>
          <t xml:space="preserve">
SD HN GD SC</t>
        </r>
      </text>
    </comment>
  </commentList>
</comments>
</file>

<file path=xl/comments4.xml><?xml version="1.0" encoding="utf-8"?>
<comments xmlns="http://schemas.openxmlformats.org/spreadsheetml/2006/main">
  <authors>
    <author>徐梦薇/Mengwei Xu</author>
  </authors>
  <commentList>
    <comment ref="G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五家以下分公司存在的问题
</t>
        </r>
      </text>
    </comment>
    <comment ref="H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五家分公司以上存在的问题</t>
        </r>
      </text>
    </comment>
  </commentList>
</comments>
</file>

<file path=xl/comments5.xml><?xml version="1.0" encoding="utf-8"?>
<comments xmlns="http://schemas.openxmlformats.org/spreadsheetml/2006/main">
  <authors>
    <author>徐梦薇/Mengwei Xu</author>
    <author>pe0826</author>
    <author>徐梦薇</author>
    <author>刘辉</author>
  </authors>
  <commentList>
    <comment ref="AB5" authorId="0">
      <text>
        <r>
          <rPr>
            <b/>
            <sz val="9"/>
            <color indexed="81"/>
            <rFont val="宋体"/>
            <family val="3"/>
            <charset val="134"/>
          </rPr>
          <t>徐梦薇</t>
        </r>
        <r>
          <rPr>
            <b/>
            <sz val="9"/>
            <color indexed="81"/>
            <rFont val="Tahoma"/>
            <family val="2"/>
          </rPr>
          <t>/Mengwei Xu:</t>
        </r>
        <r>
          <rPr>
            <sz val="9"/>
            <color indexed="81"/>
            <rFont val="Tahoma"/>
            <family val="2"/>
          </rPr>
          <t xml:space="preserve">
5.7</t>
        </r>
        <r>
          <rPr>
            <sz val="9"/>
            <color indexed="81"/>
            <rFont val="宋体"/>
            <family val="3"/>
            <charset val="134"/>
          </rPr>
          <t>天分总经理助理薛梅离职；</t>
        </r>
      </text>
    </comment>
    <comment ref="AT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由手工维护台账进行计算后得出</t>
        </r>
      </text>
    </comment>
    <comment ref="AZ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原淄博中心支公司总经理车杰于</t>
        </r>
        <r>
          <rPr>
            <sz val="9"/>
            <color indexed="81"/>
            <rFont val="Tahoma"/>
            <family val="2"/>
          </rPr>
          <t>2018/5/10</t>
        </r>
        <r>
          <rPr>
            <sz val="9"/>
            <color indexed="81"/>
            <rFont val="宋体"/>
            <family val="3"/>
            <charset val="134"/>
          </rPr>
          <t>离职转外勤</t>
        </r>
      </text>
    </comment>
    <comment ref="BF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付玉涛总于</t>
        </r>
        <r>
          <rPr>
            <sz val="9"/>
            <color indexed="81"/>
            <rFont val="Tahoma"/>
            <family val="2"/>
          </rPr>
          <t>20180601</t>
        </r>
        <r>
          <rPr>
            <sz val="9"/>
            <color indexed="81"/>
            <rFont val="宋体"/>
            <family val="3"/>
            <charset val="134"/>
          </rPr>
          <t>由总经理助理异动至团险业务总监</t>
        </r>
      </text>
    </comment>
    <comment ref="BP5" authorId="1">
      <text>
        <r>
          <rPr>
            <b/>
            <sz val="9"/>
            <color indexed="81"/>
            <rFont val="宋体"/>
            <family val="3"/>
            <charset val="134"/>
          </rPr>
          <t>本季度新增一名离职人员：
广分江门中心支公司总经理甘建荣</t>
        </r>
        <r>
          <rPr>
            <b/>
            <sz val="9"/>
            <color indexed="81"/>
            <rFont val="Tahoma"/>
            <family val="2"/>
          </rPr>
          <t>2018-03-16</t>
        </r>
        <r>
          <rPr>
            <b/>
            <sz val="9"/>
            <color indexed="81"/>
            <rFont val="宋体"/>
            <family val="3"/>
            <charset val="134"/>
          </rPr>
          <t>离职</t>
        </r>
      </text>
    </comment>
    <comment ref="BR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广分总经理助理兼银保渠道负责人梁巧玲</t>
        </r>
        <r>
          <rPr>
            <sz val="9"/>
            <color indexed="81"/>
            <rFont val="Tahoma"/>
            <family val="2"/>
          </rPr>
          <t>2017-12-29</t>
        </r>
        <r>
          <rPr>
            <sz val="9"/>
            <color indexed="81"/>
            <rFont val="宋体"/>
            <family val="3"/>
            <charset val="134"/>
          </rPr>
          <t>离职
广分江门中心支公司总经理甘建荣</t>
        </r>
        <r>
          <rPr>
            <sz val="9"/>
            <color indexed="81"/>
            <rFont val="Tahoma"/>
            <family val="2"/>
          </rPr>
          <t>2018-03-16</t>
        </r>
        <r>
          <rPr>
            <sz val="9"/>
            <color indexed="81"/>
            <rFont val="宋体"/>
            <family val="3"/>
            <charset val="134"/>
          </rPr>
          <t>离职</t>
        </r>
      </text>
    </comment>
    <comment ref="BX5" authorId="0">
      <text>
        <r>
          <rPr>
            <b/>
            <sz val="9"/>
            <color indexed="81"/>
            <rFont val="宋体"/>
            <family val="3"/>
            <charset val="134"/>
          </rPr>
          <t>徐梦薇</t>
        </r>
        <r>
          <rPr>
            <b/>
            <sz val="9"/>
            <color indexed="81"/>
            <rFont val="Tahoma"/>
            <family val="2"/>
          </rPr>
          <t>/Mengwei Xu:</t>
        </r>
        <r>
          <rPr>
            <sz val="9"/>
            <color indexed="81"/>
            <rFont val="Tahoma"/>
            <family val="2"/>
          </rPr>
          <t xml:space="preserve">
1</t>
        </r>
        <r>
          <rPr>
            <sz val="9"/>
            <color indexed="81"/>
            <rFont val="宋体"/>
            <family val="3"/>
            <charset val="134"/>
          </rPr>
          <t>、</t>
        </r>
        <r>
          <rPr>
            <sz val="9"/>
            <color indexed="81"/>
            <rFont val="Tahoma"/>
            <family val="2"/>
          </rPr>
          <t>2018Q1</t>
        </r>
        <r>
          <rPr>
            <sz val="9"/>
            <color indexed="81"/>
            <rFont val="宋体"/>
            <family val="3"/>
            <charset val="134"/>
          </rPr>
          <t>反馈数据中达州中支负责人张龙</t>
        </r>
        <r>
          <rPr>
            <sz val="9"/>
            <color indexed="81"/>
            <rFont val="Tahoma"/>
            <family val="2"/>
          </rPr>
          <t>2017-5-19</t>
        </r>
        <r>
          <rPr>
            <sz val="9"/>
            <color indexed="81"/>
            <rFont val="宋体"/>
            <family val="3"/>
            <charset val="134"/>
          </rPr>
          <t>最后工作日，</t>
        </r>
        <r>
          <rPr>
            <sz val="9"/>
            <color indexed="81"/>
            <rFont val="Tahoma"/>
            <family val="2"/>
          </rPr>
          <t>2018Q2</t>
        </r>
        <r>
          <rPr>
            <sz val="9"/>
            <color indexed="81"/>
            <rFont val="宋体"/>
            <family val="3"/>
            <charset val="134"/>
          </rPr>
          <t xml:space="preserve">无此类岗位人员离职。
</t>
        </r>
      </text>
    </comment>
    <comment ref="Z6" authorId="1">
      <text>
        <r>
          <rPr>
            <b/>
            <sz val="9"/>
            <color indexed="81"/>
            <rFont val="Tahoma"/>
            <family val="2"/>
          </rPr>
          <t xml:space="preserve">3.13 </t>
        </r>
        <r>
          <rPr>
            <b/>
            <sz val="9"/>
            <color indexed="81"/>
            <rFont val="宋体"/>
            <family val="3"/>
            <charset val="134"/>
          </rPr>
          <t>周彤任命为分公司总经理助理（分管个险）</t>
        </r>
        <r>
          <rPr>
            <b/>
            <sz val="9"/>
            <color indexed="81"/>
            <rFont val="Tahoma"/>
            <family val="2"/>
          </rPr>
          <t xml:space="preserve">                                  </t>
        </r>
        <r>
          <rPr>
            <b/>
            <sz val="9"/>
            <color indexed="81"/>
            <rFont val="宋体"/>
            <family val="3"/>
            <charset val="134"/>
          </rPr>
          <t xml:space="preserve">加入王赤宇
</t>
        </r>
        <r>
          <rPr>
            <b/>
            <sz val="9"/>
            <color indexed="81"/>
            <rFont val="Tahoma"/>
            <family val="2"/>
          </rPr>
          <t>2018.1.15</t>
        </r>
        <r>
          <rPr>
            <b/>
            <sz val="9"/>
            <color indexed="81"/>
            <rFont val="宋体"/>
            <family val="3"/>
            <charset val="134"/>
          </rPr>
          <t>任命为石家庄中心支公司总经理，但其人力编制在总公司</t>
        </r>
      </text>
    </comment>
    <comment ref="AB6" authorId="0">
      <text>
        <r>
          <rPr>
            <b/>
            <sz val="9"/>
            <color indexed="81"/>
            <rFont val="宋体"/>
            <family val="3"/>
            <charset val="134"/>
          </rPr>
          <t>徐梦薇</t>
        </r>
        <r>
          <rPr>
            <b/>
            <sz val="9"/>
            <color indexed="81"/>
            <rFont val="Tahoma"/>
            <family val="2"/>
          </rPr>
          <t>/Mengwei Xu:</t>
        </r>
        <r>
          <rPr>
            <sz val="9"/>
            <color indexed="81"/>
            <rFont val="Tahoma"/>
            <family val="2"/>
          </rPr>
          <t>剔除</t>
        </r>
        <r>
          <rPr>
            <sz val="9"/>
            <color indexed="81"/>
            <rFont val="宋体"/>
            <family val="3"/>
            <charset val="134"/>
          </rPr>
          <t>石家庄中支王赤宇</t>
        </r>
      </text>
    </comment>
    <comment ref="AZ6" authorId="0">
      <text>
        <r>
          <rPr>
            <b/>
            <sz val="9"/>
            <color indexed="81"/>
            <rFont val="宋体"/>
            <family val="3"/>
            <charset val="134"/>
          </rPr>
          <t>山分：崔涛、郑恒永、王洪燕                               济南：潘若建                                                           烟台：刘敬斌
济宁：李建英
潍坊：董海东
临沂：刘勇
威海：郑寿智
泰安：王竣
枣庄：王静
德州：秦文霞</t>
        </r>
      </text>
    </comment>
    <comment ref="BF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付玉涛总于</t>
        </r>
        <r>
          <rPr>
            <sz val="9"/>
            <color indexed="81"/>
            <rFont val="Tahoma"/>
            <family val="2"/>
          </rPr>
          <t>20180601</t>
        </r>
        <r>
          <rPr>
            <sz val="9"/>
            <color indexed="81"/>
            <rFont val="宋体"/>
            <family val="3"/>
            <charset val="134"/>
          </rPr>
          <t>由总经理助理异动至团险业务总监</t>
        </r>
      </text>
    </comment>
    <comment ref="BR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省级分公司总经理室成员为</t>
        </r>
        <r>
          <rPr>
            <sz val="9"/>
            <color indexed="81"/>
            <rFont val="Tahoma"/>
            <family val="2"/>
          </rPr>
          <t>2</t>
        </r>
        <r>
          <rPr>
            <sz val="9"/>
            <color indexed="81"/>
            <rFont val="宋体"/>
            <family val="3"/>
            <charset val="134"/>
          </rPr>
          <t>人，中心支公司主要负责人为</t>
        </r>
        <r>
          <rPr>
            <sz val="9"/>
            <color indexed="81"/>
            <rFont val="Tahoma"/>
            <family val="2"/>
          </rPr>
          <t>2</t>
        </r>
        <r>
          <rPr>
            <sz val="9"/>
            <color indexed="81"/>
            <rFont val="宋体"/>
            <family val="3"/>
            <charset val="134"/>
          </rPr>
          <t>人，合共</t>
        </r>
        <r>
          <rPr>
            <sz val="9"/>
            <color indexed="81"/>
            <rFont val="Tahoma"/>
            <family val="2"/>
          </rPr>
          <t>4</t>
        </r>
        <r>
          <rPr>
            <sz val="9"/>
            <color indexed="81"/>
            <rFont val="宋体"/>
            <family val="3"/>
            <charset val="134"/>
          </rPr>
          <t>人</t>
        </r>
      </text>
    </comment>
    <comment ref="BX6" authorId="0">
      <text>
        <r>
          <rPr>
            <b/>
            <sz val="9"/>
            <color indexed="81"/>
            <rFont val="宋体"/>
            <family val="3"/>
            <charset val="134"/>
          </rPr>
          <t>徐梦薇</t>
        </r>
        <r>
          <rPr>
            <b/>
            <sz val="9"/>
            <color indexed="81"/>
            <rFont val="Tahoma"/>
            <family val="2"/>
          </rPr>
          <t>/Mengwei Xu:</t>
        </r>
        <r>
          <rPr>
            <sz val="9"/>
            <color indexed="81"/>
            <rFont val="Tahoma"/>
            <family val="2"/>
          </rPr>
          <t xml:space="preserve">
2</t>
        </r>
        <r>
          <rPr>
            <sz val="9"/>
            <color indexed="81"/>
            <rFont val="宋体"/>
            <family val="3"/>
            <charset val="134"/>
          </rPr>
          <t>、</t>
        </r>
        <r>
          <rPr>
            <sz val="9"/>
            <color indexed="81"/>
            <rFont val="Tahoma"/>
            <family val="2"/>
          </rPr>
          <t>2018Q2</t>
        </r>
        <r>
          <rPr>
            <sz val="9"/>
            <color indexed="81"/>
            <rFont val="宋体"/>
            <family val="3"/>
            <charset val="134"/>
          </rPr>
          <t>反馈数据比</t>
        </r>
        <r>
          <rPr>
            <sz val="9"/>
            <color indexed="81"/>
            <rFont val="Tahoma"/>
            <family val="2"/>
          </rPr>
          <t>2018Q1</t>
        </r>
        <r>
          <rPr>
            <sz val="9"/>
            <color indexed="81"/>
            <rFont val="宋体"/>
            <family val="3"/>
            <charset val="134"/>
          </rPr>
          <t>反馈的数据多了自贡中支的文建科。</t>
        </r>
      </text>
    </comment>
    <comment ref="Z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含石家庄</t>
        </r>
      </text>
    </comment>
    <comment ref="AB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去除了石家庄人数，其次，原个险培训负责人白春蕊</t>
        </r>
        <r>
          <rPr>
            <sz val="9"/>
            <color indexed="81"/>
            <rFont val="Tahoma"/>
            <family val="2"/>
          </rPr>
          <t>6.15</t>
        </r>
        <r>
          <rPr>
            <sz val="9"/>
            <color indexed="81"/>
            <rFont val="宋体"/>
            <family val="3"/>
            <charset val="134"/>
          </rPr>
          <t>离职</t>
        </r>
      </text>
    </comment>
    <comment ref="AD8" authorId="1">
      <text>
        <r>
          <rPr>
            <b/>
            <sz val="9"/>
            <color indexed="81"/>
            <rFont val="宋体"/>
            <family val="2"/>
            <charset val="134"/>
          </rPr>
          <t xml:space="preserve">去除石家庄2人，1个离职，基数少，因此超过30%变动
</t>
        </r>
      </text>
    </comment>
    <comment ref="AH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分公司</t>
        </r>
        <r>
          <rPr>
            <sz val="9"/>
            <color indexed="81"/>
            <rFont val="Tahoma"/>
            <family val="2"/>
          </rPr>
          <t>ID3</t>
        </r>
        <r>
          <rPr>
            <sz val="9"/>
            <color indexed="81"/>
            <rFont val="宋体"/>
            <family val="3"/>
            <charset val="134"/>
          </rPr>
          <t>、分公司</t>
        </r>
        <r>
          <rPr>
            <sz val="9"/>
            <color indexed="81"/>
            <rFont val="Tahoma"/>
            <family val="2"/>
          </rPr>
          <t>AD1</t>
        </r>
        <r>
          <rPr>
            <sz val="9"/>
            <color indexed="81"/>
            <rFont val="宋体"/>
            <family val="3"/>
            <charset val="134"/>
          </rPr>
          <t>、分公司</t>
        </r>
        <r>
          <rPr>
            <sz val="9"/>
            <color indexed="81"/>
            <rFont val="Tahoma"/>
            <family val="2"/>
          </rPr>
          <t>RP1</t>
        </r>
        <r>
          <rPr>
            <sz val="9"/>
            <color indexed="81"/>
            <rFont val="宋体"/>
            <family val="3"/>
            <charset val="134"/>
          </rPr>
          <t>、分公司</t>
        </r>
        <r>
          <rPr>
            <sz val="9"/>
            <color indexed="81"/>
            <rFont val="Tahoma"/>
            <family val="2"/>
          </rPr>
          <t>CS1</t>
        </r>
        <r>
          <rPr>
            <sz val="9"/>
            <color indexed="81"/>
            <rFont val="宋体"/>
            <family val="3"/>
            <charset val="134"/>
          </rPr>
          <t>、沈阳</t>
        </r>
        <r>
          <rPr>
            <sz val="9"/>
            <color indexed="81"/>
            <rFont val="Tahoma"/>
            <family val="2"/>
          </rPr>
          <t>1</t>
        </r>
        <r>
          <rPr>
            <sz val="9"/>
            <color indexed="81"/>
            <rFont val="宋体"/>
            <family val="3"/>
            <charset val="134"/>
          </rPr>
          <t>、铁岭</t>
        </r>
        <r>
          <rPr>
            <sz val="9"/>
            <color indexed="81"/>
            <rFont val="Tahoma"/>
            <family val="2"/>
          </rPr>
          <t>1</t>
        </r>
        <r>
          <rPr>
            <sz val="9"/>
            <color indexed="81"/>
            <rFont val="宋体"/>
            <family val="3"/>
            <charset val="134"/>
          </rPr>
          <t>、抚顺</t>
        </r>
        <r>
          <rPr>
            <sz val="9"/>
            <color indexed="81"/>
            <rFont val="Tahoma"/>
            <family val="2"/>
          </rPr>
          <t>1</t>
        </r>
        <r>
          <rPr>
            <sz val="9"/>
            <color indexed="81"/>
            <rFont val="宋体"/>
            <family val="3"/>
            <charset val="134"/>
          </rPr>
          <t>、锦州</t>
        </r>
        <r>
          <rPr>
            <sz val="9"/>
            <color indexed="81"/>
            <rFont val="Tahoma"/>
            <family val="2"/>
          </rPr>
          <t>2</t>
        </r>
        <r>
          <rPr>
            <sz val="9"/>
            <color indexed="81"/>
            <rFont val="宋体"/>
            <family val="3"/>
            <charset val="134"/>
          </rPr>
          <t>、丹东</t>
        </r>
        <r>
          <rPr>
            <sz val="9"/>
            <color indexed="81"/>
            <rFont val="Tahoma"/>
            <family val="2"/>
          </rPr>
          <t>2</t>
        </r>
        <r>
          <rPr>
            <sz val="9"/>
            <color indexed="81"/>
            <rFont val="宋体"/>
            <family val="3"/>
            <charset val="134"/>
          </rPr>
          <t>、辽阳</t>
        </r>
        <r>
          <rPr>
            <sz val="9"/>
            <color indexed="81"/>
            <rFont val="Tahoma"/>
            <family val="2"/>
          </rPr>
          <t>2</t>
        </r>
        <r>
          <rPr>
            <sz val="9"/>
            <color indexed="81"/>
            <rFont val="宋体"/>
            <family val="3"/>
            <charset val="134"/>
          </rPr>
          <t>、本溪</t>
        </r>
        <r>
          <rPr>
            <sz val="9"/>
            <color indexed="81"/>
            <rFont val="Tahoma"/>
            <family val="2"/>
          </rPr>
          <t>2</t>
        </r>
      </text>
    </comment>
    <comment ref="AR8" authorId="1">
      <text>
        <r>
          <rPr>
            <b/>
            <sz val="9"/>
            <color indexed="81"/>
            <rFont val="宋体"/>
            <family val="3"/>
            <charset val="134"/>
          </rPr>
          <t>方炜、张晨华、袁成林、周洁、郅慧、陶小华、郑小丽、龚细明、尤建芳、朱波、沈耀平、徐莉、吴毅敏、洪艺菲、张彪、王旺、陈子剑</t>
        </r>
      </text>
    </comment>
    <comment ref="AT8" authorId="1">
      <text>
        <r>
          <rPr>
            <b/>
            <sz val="9"/>
            <color indexed="81"/>
            <rFont val="宋体"/>
            <family val="3"/>
            <charset val="134"/>
          </rPr>
          <t>方炜、张晨华、袁成林、周洁、郅慧、陶小华、郑小丽、龚细明、尤建芳、朱波、沈耀平、徐莉、吴毅敏、洪艺菲、张彪、王旺、陈子剑</t>
        </r>
      </text>
    </comment>
    <comment ref="AX8" authorId="1">
      <text>
        <r>
          <rPr>
            <b/>
            <sz val="9"/>
            <color indexed="81"/>
            <rFont val="宋体"/>
            <family val="3"/>
            <charset val="134"/>
          </rPr>
          <t>山东省分公司客户服务部负责人赵建元
山东省分公司多元行销负责人王洪燕
山东省分公司银保渠道负责人曲兴华
山东省分公司续期保费部负责人梁仕永
山东省分公司个险销售支持部负责人陈艳
山东省分公司个险培训部负责人黄莎
山东省分公司个险业务发展部负责人刘震
烟台中心支公司团险渠道负责人曹爱文
济宁中心支公司团险渠道负责人刘小利
济宁中心支公司个险业务发展部负责人陈智川
淄博中心支公司个险业务发展部负责人许森
潍坊中心支公司个险业务发展部负责人王俊娜
枣庄中心支公司个险业务发展部负责人周全伟
威海中心支公司个险发展部负责人李广升
德州中心支公司个险培训部负责人胡萍萍
德州中心支公司个险业务发展部负责人任龙飞
泰安中心支公司个险业务发展部负责人李明军
临沂中心支公司个险业务发展部负责人张杰</t>
        </r>
      </text>
    </comment>
    <comment ref="AZ8" authorId="1">
      <text>
        <r>
          <rPr>
            <b/>
            <sz val="9"/>
            <color indexed="81"/>
            <rFont val="宋体"/>
            <family val="3"/>
            <charset val="134"/>
          </rPr>
          <t>山东省分公司客户服务部负责人赵建元
山东省分公司多元行销负责人王洪燕
山东省分公司银保渠道负责人曲兴华
山东省分公司续期保费部负责人梁仕永
山东省分公司个险销售支持部负责人陈艳
山东省分公司个险培训部负责人黄莎
山东省分公司个险业务发展部负责人刘震
烟台中心支公司团险渠道负责人曹爱文
济宁中心支公司团险渠道负责人刘小利
济宁中心支公司个险业务发展部负责人陈智川
淄博中心支公司个险业务发展部负责人许森
潍坊中心支公司个险业务发展部负责人王俊娜
枣庄中心支公司个险业务发展部负责人周全伟
威海中心支公司个险发展部负责人李广升
德州中心支公司个险培训部负责人胡萍萍
德州中心支公司个险业务发展部负责人任龙飞
泰安中心支公司个险业务发展部负责人李明军
临沂中心支公司个险业务发展部负责人张杰</t>
        </r>
      </text>
    </comment>
    <comment ref="BF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个险</t>
        </r>
        <r>
          <rPr>
            <sz val="9"/>
            <color indexed="81"/>
            <rFont val="Tahoma"/>
            <family val="2"/>
          </rPr>
          <t xml:space="preserve">2 </t>
        </r>
        <r>
          <rPr>
            <sz val="9"/>
            <color indexed="81"/>
            <rFont val="宋体"/>
            <family val="3"/>
            <charset val="134"/>
          </rPr>
          <t>续期</t>
        </r>
        <r>
          <rPr>
            <sz val="9"/>
            <color indexed="81"/>
            <rFont val="Tahoma"/>
            <family val="2"/>
          </rPr>
          <t xml:space="preserve">1 </t>
        </r>
        <r>
          <rPr>
            <sz val="9"/>
            <color indexed="81"/>
            <rFont val="宋体"/>
            <family val="3"/>
            <charset val="134"/>
          </rPr>
          <t>客服</t>
        </r>
        <r>
          <rPr>
            <sz val="9"/>
            <color indexed="81"/>
            <rFont val="Tahoma"/>
            <family val="2"/>
          </rPr>
          <t>1</t>
        </r>
      </text>
    </comment>
    <comment ref="BJ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部门负责人个人简历</t>
        </r>
      </text>
    </comment>
    <comment ref="BL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部门负责人个人简历</t>
        </r>
      </text>
    </comment>
    <comment ref="BP8" authorId="1">
      <text>
        <r>
          <rPr>
            <sz val="9"/>
            <color indexed="81"/>
            <rFont val="宋体"/>
            <family val="3"/>
            <charset val="134"/>
          </rPr>
          <t>员工简历</t>
        </r>
        <r>
          <rPr>
            <sz val="9"/>
            <color indexed="81"/>
            <rFont val="Tahoma"/>
            <family val="2"/>
          </rPr>
          <t xml:space="preserve">
</t>
        </r>
      </text>
    </comment>
    <comment ref="BX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（团险</t>
        </r>
        <r>
          <rPr>
            <sz val="9"/>
            <color indexed="81"/>
            <rFont val="Tahoma"/>
            <family val="2"/>
          </rPr>
          <t>-</t>
        </r>
        <r>
          <rPr>
            <sz val="9"/>
            <color indexed="81"/>
            <rFont val="宋体"/>
            <family val="3"/>
            <charset val="134"/>
          </rPr>
          <t>尹冬，银保</t>
        </r>
        <r>
          <rPr>
            <sz val="9"/>
            <color indexed="81"/>
            <rFont val="Tahoma"/>
            <family val="2"/>
          </rPr>
          <t>-</t>
        </r>
        <r>
          <rPr>
            <sz val="9"/>
            <color indexed="81"/>
            <rFont val="宋体"/>
            <family val="3"/>
            <charset val="134"/>
          </rPr>
          <t>黄娟，客户</t>
        </r>
        <r>
          <rPr>
            <sz val="9"/>
            <color indexed="81"/>
            <rFont val="Tahoma"/>
            <family val="2"/>
          </rPr>
          <t>-</t>
        </r>
        <r>
          <rPr>
            <sz val="9"/>
            <color indexed="81"/>
            <rFont val="宋体"/>
            <family val="3"/>
            <charset val="134"/>
          </rPr>
          <t>黎伟，</t>
        </r>
        <r>
          <rPr>
            <sz val="9"/>
            <color indexed="81"/>
            <rFont val="Tahoma"/>
            <family val="2"/>
          </rPr>
          <t>SC</t>
        </r>
        <r>
          <rPr>
            <sz val="9"/>
            <color indexed="81"/>
            <rFont val="宋体"/>
            <family val="3"/>
            <charset val="134"/>
          </rPr>
          <t>培训</t>
        </r>
        <r>
          <rPr>
            <sz val="9"/>
            <color indexed="81"/>
            <rFont val="Tahoma"/>
            <family val="2"/>
          </rPr>
          <t>-</t>
        </r>
        <r>
          <rPr>
            <sz val="9"/>
            <color indexed="81"/>
            <rFont val="宋体"/>
            <family val="3"/>
            <charset val="134"/>
          </rPr>
          <t>胡妲，</t>
        </r>
        <r>
          <rPr>
            <sz val="9"/>
            <color indexed="81"/>
            <rFont val="Tahoma"/>
            <family val="2"/>
          </rPr>
          <t>SC</t>
        </r>
        <r>
          <rPr>
            <sz val="9"/>
            <color indexed="81"/>
            <rFont val="宋体"/>
            <family val="3"/>
            <charset val="134"/>
          </rPr>
          <t>业务</t>
        </r>
        <r>
          <rPr>
            <sz val="9"/>
            <color indexed="81"/>
            <rFont val="Tahoma"/>
            <family val="2"/>
          </rPr>
          <t>-</t>
        </r>
        <r>
          <rPr>
            <sz val="9"/>
            <color indexed="81"/>
            <rFont val="宋体"/>
            <family val="3"/>
            <charset val="134"/>
          </rPr>
          <t>晏成怀；</t>
        </r>
        <r>
          <rPr>
            <sz val="9"/>
            <color indexed="81"/>
            <rFont val="Tahoma"/>
            <family val="2"/>
          </rPr>
          <t>SC</t>
        </r>
        <r>
          <rPr>
            <sz val="9"/>
            <color indexed="81"/>
            <rFont val="宋体"/>
            <family val="3"/>
            <charset val="134"/>
          </rPr>
          <t>销支</t>
        </r>
        <r>
          <rPr>
            <sz val="9"/>
            <color indexed="81"/>
            <rFont val="Tahoma"/>
            <family val="2"/>
          </rPr>
          <t>-</t>
        </r>
        <r>
          <rPr>
            <sz val="9"/>
            <color indexed="81"/>
            <rFont val="宋体"/>
            <family val="3"/>
            <charset val="134"/>
          </rPr>
          <t>万宇；</t>
        </r>
        <r>
          <rPr>
            <sz val="9"/>
            <color indexed="81"/>
            <rFont val="Tahoma"/>
            <family val="2"/>
          </rPr>
          <t>LS</t>
        </r>
        <r>
          <rPr>
            <sz val="9"/>
            <color indexed="81"/>
            <rFont val="宋体"/>
            <family val="3"/>
            <charset val="134"/>
          </rPr>
          <t>业务</t>
        </r>
        <r>
          <rPr>
            <sz val="9"/>
            <color indexed="81"/>
            <rFont val="Tahoma"/>
            <family val="2"/>
          </rPr>
          <t>-</t>
        </r>
        <r>
          <rPr>
            <sz val="9"/>
            <color indexed="81"/>
            <rFont val="宋体"/>
            <family val="3"/>
            <charset val="134"/>
          </rPr>
          <t>张晓波，</t>
        </r>
        <r>
          <rPr>
            <sz val="9"/>
            <color indexed="81"/>
            <rFont val="Tahoma"/>
            <family val="2"/>
          </rPr>
          <t>LS</t>
        </r>
        <r>
          <rPr>
            <sz val="9"/>
            <color indexed="81"/>
            <rFont val="宋体"/>
            <family val="3"/>
            <charset val="134"/>
          </rPr>
          <t>培训</t>
        </r>
        <r>
          <rPr>
            <sz val="9"/>
            <color indexed="81"/>
            <rFont val="Tahoma"/>
            <family val="2"/>
          </rPr>
          <t>-</t>
        </r>
        <r>
          <rPr>
            <sz val="9"/>
            <color indexed="81"/>
            <rFont val="宋体"/>
            <family val="3"/>
            <charset val="134"/>
          </rPr>
          <t>唐文佳；</t>
        </r>
        <r>
          <rPr>
            <sz val="9"/>
            <color indexed="81"/>
            <rFont val="Tahoma"/>
            <family val="2"/>
          </rPr>
          <t>DZ-</t>
        </r>
        <r>
          <rPr>
            <sz val="9"/>
            <color indexed="81"/>
            <rFont val="宋体"/>
            <family val="3"/>
            <charset val="134"/>
          </rPr>
          <t>李美安，</t>
        </r>
        <r>
          <rPr>
            <sz val="9"/>
            <color indexed="81"/>
            <rFont val="Tahoma"/>
            <family val="2"/>
          </rPr>
          <t>NC-</t>
        </r>
        <r>
          <rPr>
            <sz val="9"/>
            <color indexed="81"/>
            <rFont val="宋体"/>
            <family val="3"/>
            <charset val="134"/>
          </rPr>
          <t>谭春丽，</t>
        </r>
        <r>
          <rPr>
            <sz val="9"/>
            <color indexed="81"/>
            <rFont val="Tahoma"/>
            <family val="2"/>
          </rPr>
          <t>NC-</t>
        </r>
        <r>
          <rPr>
            <sz val="9"/>
            <color indexed="81"/>
            <rFont val="宋体"/>
            <family val="3"/>
            <charset val="134"/>
          </rPr>
          <t>王蓉，</t>
        </r>
        <r>
          <rPr>
            <sz val="9"/>
            <color indexed="81"/>
            <rFont val="Tahoma"/>
            <family val="2"/>
          </rPr>
          <t>ZG-</t>
        </r>
        <r>
          <rPr>
            <sz val="9"/>
            <color indexed="81"/>
            <rFont val="宋体"/>
            <family val="3"/>
            <charset val="134"/>
          </rPr>
          <t>王强，</t>
        </r>
        <r>
          <rPr>
            <sz val="9"/>
            <color indexed="81"/>
            <rFont val="Tahoma"/>
            <family val="2"/>
          </rPr>
          <t>ZG</t>
        </r>
        <r>
          <rPr>
            <sz val="9"/>
            <color indexed="81"/>
            <rFont val="宋体"/>
            <family val="3"/>
            <charset val="134"/>
          </rPr>
          <t>：王梦兰）</t>
        </r>
      </text>
    </comment>
    <comment ref="BZ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 xml:space="preserve">基数小，变动幅度较大
</t>
        </r>
      </text>
    </comment>
    <comment ref="Z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同上</t>
        </r>
      </text>
    </comment>
    <comment ref="AB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同上
</t>
        </r>
      </text>
    </comment>
    <comment ref="AD9" authorId="1">
      <text>
        <r>
          <rPr>
            <sz val="9"/>
            <color indexed="81"/>
            <rFont val="宋体"/>
            <family val="3"/>
            <charset val="134"/>
          </rPr>
          <t>同上</t>
        </r>
      </text>
    </comment>
    <comment ref="AH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AR9" authorId="1">
      <text>
        <r>
          <rPr>
            <b/>
            <sz val="9"/>
            <color indexed="81"/>
            <rFont val="宋体"/>
            <family val="3"/>
            <charset val="134"/>
          </rPr>
          <t>苏州中支个险业务发展部经理（负责人）李杰不满足</t>
        </r>
        <r>
          <rPr>
            <b/>
            <sz val="9"/>
            <color indexed="81"/>
            <rFont val="Tahoma"/>
            <family val="2"/>
          </rPr>
          <t>5</t>
        </r>
        <r>
          <rPr>
            <b/>
            <sz val="9"/>
            <color indexed="81"/>
            <rFont val="宋体"/>
            <family val="3"/>
            <charset val="134"/>
          </rPr>
          <t>年经验要求</t>
        </r>
      </text>
    </comment>
    <comment ref="AT9" authorId="1">
      <text>
        <r>
          <rPr>
            <b/>
            <sz val="9"/>
            <color indexed="81"/>
            <rFont val="宋体"/>
            <family val="3"/>
            <charset val="134"/>
          </rPr>
          <t>苏州中支个险业务发展部经理（负责人）李杰不满足</t>
        </r>
        <r>
          <rPr>
            <b/>
            <sz val="9"/>
            <color indexed="81"/>
            <rFont val="Tahoma"/>
            <family val="2"/>
          </rPr>
          <t>5</t>
        </r>
        <r>
          <rPr>
            <b/>
            <sz val="9"/>
            <color indexed="81"/>
            <rFont val="宋体"/>
            <family val="3"/>
            <charset val="134"/>
          </rPr>
          <t>年经验要求</t>
        </r>
      </text>
    </comment>
    <comment ref="AX9" authorId="1">
      <text>
        <r>
          <rPr>
            <b/>
            <sz val="9"/>
            <color indexed="81"/>
            <rFont val="宋体"/>
            <family val="3"/>
            <charset val="134"/>
          </rPr>
          <t>同上</t>
        </r>
      </text>
    </comment>
    <comment ref="AZ9" authorId="1">
      <text>
        <r>
          <rPr>
            <b/>
            <sz val="9"/>
            <color indexed="81"/>
            <rFont val="宋体"/>
            <family val="3"/>
            <charset val="134"/>
          </rPr>
          <t>同上</t>
        </r>
      </text>
    </comment>
    <comment ref="BD9" authorId="1">
      <text>
        <r>
          <rPr>
            <b/>
            <sz val="9"/>
            <color indexed="81"/>
            <rFont val="Tahoma"/>
            <family val="2"/>
          </rPr>
          <t>5</t>
        </r>
        <r>
          <rPr>
            <b/>
            <sz val="9"/>
            <color indexed="81"/>
            <rFont val="宋体"/>
            <family val="3"/>
            <charset val="134"/>
          </rPr>
          <t>人中包含：个险销售支持部（王倩）、个险培训部（宋绪荣）、团险渠道（付玉涛）、客户服务部（巩佳）、续期保费部（徐华）</t>
        </r>
      </text>
    </comment>
    <comment ref="BF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BJ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相关部门负责人（叶红、刘春艳、任保中、吴畏、刘辉、张瑞强、芦培贞、刘博、孙昭海、姚梅、王艳丽、张建萍、彭波、李丽、李学双、吴小强）</t>
        </r>
      </text>
    </comment>
    <comment ref="BL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相关部门负责人（叶红、张进林、吴畏、刘辉、张瑞强、芦培贞、刘博、孙昭海、姚梅、王艳丽、张建萍、彭波、李丽、李学双、吴小强）</t>
        </r>
      </text>
    </comment>
    <comment ref="BP9" authorId="1">
      <text>
        <r>
          <rPr>
            <b/>
            <sz val="9"/>
            <color indexed="81"/>
            <rFont val="宋体"/>
            <family val="3"/>
            <charset val="134"/>
          </rPr>
          <t>员工简历，劳动合同
宁彩燕、李晖兼任旗下中心支公司的个险相关部门负责人</t>
        </r>
      </text>
    </comment>
    <comment ref="BX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（团险</t>
        </r>
        <r>
          <rPr>
            <sz val="9"/>
            <color indexed="81"/>
            <rFont val="Tahoma"/>
            <family val="2"/>
          </rPr>
          <t>-</t>
        </r>
        <r>
          <rPr>
            <sz val="9"/>
            <color indexed="81"/>
            <rFont val="宋体"/>
            <family val="3"/>
            <charset val="134"/>
          </rPr>
          <t>尹冬，银保</t>
        </r>
        <r>
          <rPr>
            <sz val="9"/>
            <color indexed="81"/>
            <rFont val="Tahoma"/>
            <family val="2"/>
          </rPr>
          <t>-</t>
        </r>
        <r>
          <rPr>
            <sz val="9"/>
            <color indexed="81"/>
            <rFont val="宋体"/>
            <family val="3"/>
            <charset val="134"/>
          </rPr>
          <t>黄娟，客户</t>
        </r>
        <r>
          <rPr>
            <sz val="9"/>
            <color indexed="81"/>
            <rFont val="Tahoma"/>
            <family val="2"/>
          </rPr>
          <t>-</t>
        </r>
        <r>
          <rPr>
            <sz val="9"/>
            <color indexed="81"/>
            <rFont val="宋体"/>
            <family val="3"/>
            <charset val="134"/>
          </rPr>
          <t>黎伟，</t>
        </r>
        <r>
          <rPr>
            <sz val="9"/>
            <color indexed="81"/>
            <rFont val="Tahoma"/>
            <family val="2"/>
          </rPr>
          <t>SC</t>
        </r>
        <r>
          <rPr>
            <sz val="9"/>
            <color indexed="81"/>
            <rFont val="宋体"/>
            <family val="3"/>
            <charset val="134"/>
          </rPr>
          <t>培训</t>
        </r>
        <r>
          <rPr>
            <sz val="9"/>
            <color indexed="81"/>
            <rFont val="Tahoma"/>
            <family val="2"/>
          </rPr>
          <t>-</t>
        </r>
        <r>
          <rPr>
            <sz val="9"/>
            <color indexed="81"/>
            <rFont val="宋体"/>
            <family val="3"/>
            <charset val="134"/>
          </rPr>
          <t>胡妲，</t>
        </r>
        <r>
          <rPr>
            <sz val="9"/>
            <color indexed="81"/>
            <rFont val="Tahoma"/>
            <family val="2"/>
          </rPr>
          <t>SC</t>
        </r>
        <r>
          <rPr>
            <sz val="9"/>
            <color indexed="81"/>
            <rFont val="宋体"/>
            <family val="3"/>
            <charset val="134"/>
          </rPr>
          <t>业务</t>
        </r>
        <r>
          <rPr>
            <sz val="9"/>
            <color indexed="81"/>
            <rFont val="Tahoma"/>
            <family val="2"/>
          </rPr>
          <t>-</t>
        </r>
        <r>
          <rPr>
            <sz val="9"/>
            <color indexed="81"/>
            <rFont val="宋体"/>
            <family val="3"/>
            <charset val="134"/>
          </rPr>
          <t>晏成怀；</t>
        </r>
        <r>
          <rPr>
            <sz val="9"/>
            <color indexed="81"/>
            <rFont val="Tahoma"/>
            <family val="2"/>
          </rPr>
          <t>SC</t>
        </r>
        <r>
          <rPr>
            <sz val="9"/>
            <color indexed="81"/>
            <rFont val="宋体"/>
            <family val="3"/>
            <charset val="134"/>
          </rPr>
          <t>销支</t>
        </r>
        <r>
          <rPr>
            <sz val="9"/>
            <color indexed="81"/>
            <rFont val="Tahoma"/>
            <family val="2"/>
          </rPr>
          <t>-</t>
        </r>
        <r>
          <rPr>
            <sz val="9"/>
            <color indexed="81"/>
            <rFont val="宋体"/>
            <family val="3"/>
            <charset val="134"/>
          </rPr>
          <t>万宇；</t>
        </r>
        <r>
          <rPr>
            <sz val="9"/>
            <color indexed="81"/>
            <rFont val="Tahoma"/>
            <family val="2"/>
          </rPr>
          <t>LS</t>
        </r>
        <r>
          <rPr>
            <sz val="9"/>
            <color indexed="81"/>
            <rFont val="宋体"/>
            <family val="3"/>
            <charset val="134"/>
          </rPr>
          <t>业务</t>
        </r>
        <r>
          <rPr>
            <sz val="9"/>
            <color indexed="81"/>
            <rFont val="Tahoma"/>
            <family val="2"/>
          </rPr>
          <t>-</t>
        </r>
        <r>
          <rPr>
            <sz val="9"/>
            <color indexed="81"/>
            <rFont val="宋体"/>
            <family val="3"/>
            <charset val="134"/>
          </rPr>
          <t>张晓波，</t>
        </r>
        <r>
          <rPr>
            <sz val="9"/>
            <color indexed="81"/>
            <rFont val="Tahoma"/>
            <family val="2"/>
          </rPr>
          <t>LS</t>
        </r>
        <r>
          <rPr>
            <sz val="9"/>
            <color indexed="81"/>
            <rFont val="宋体"/>
            <family val="3"/>
            <charset val="134"/>
          </rPr>
          <t>培训</t>
        </r>
        <r>
          <rPr>
            <sz val="9"/>
            <color indexed="81"/>
            <rFont val="Tahoma"/>
            <family val="2"/>
          </rPr>
          <t>-</t>
        </r>
        <r>
          <rPr>
            <sz val="9"/>
            <color indexed="81"/>
            <rFont val="宋体"/>
            <family val="3"/>
            <charset val="134"/>
          </rPr>
          <t>唐文佳；</t>
        </r>
        <r>
          <rPr>
            <sz val="9"/>
            <color indexed="81"/>
            <rFont val="Tahoma"/>
            <family val="2"/>
          </rPr>
          <t>DZ-</t>
        </r>
        <r>
          <rPr>
            <sz val="9"/>
            <color indexed="81"/>
            <rFont val="宋体"/>
            <family val="3"/>
            <charset val="134"/>
          </rPr>
          <t>李美安，</t>
        </r>
        <r>
          <rPr>
            <sz val="9"/>
            <color indexed="81"/>
            <rFont val="Tahoma"/>
            <family val="2"/>
          </rPr>
          <t>NC-</t>
        </r>
        <r>
          <rPr>
            <sz val="9"/>
            <color indexed="81"/>
            <rFont val="宋体"/>
            <family val="3"/>
            <charset val="134"/>
          </rPr>
          <t>谭春丽，</t>
        </r>
        <r>
          <rPr>
            <sz val="9"/>
            <color indexed="81"/>
            <rFont val="Tahoma"/>
            <family val="2"/>
          </rPr>
          <t>NC-</t>
        </r>
        <r>
          <rPr>
            <sz val="9"/>
            <color indexed="81"/>
            <rFont val="宋体"/>
            <family val="3"/>
            <charset val="134"/>
          </rPr>
          <t>王蓉，</t>
        </r>
        <r>
          <rPr>
            <sz val="9"/>
            <color indexed="81"/>
            <rFont val="Tahoma"/>
            <family val="2"/>
          </rPr>
          <t>ZG-</t>
        </r>
        <r>
          <rPr>
            <sz val="9"/>
            <color indexed="81"/>
            <rFont val="宋体"/>
            <family val="3"/>
            <charset val="134"/>
          </rPr>
          <t>王强，</t>
        </r>
        <r>
          <rPr>
            <sz val="9"/>
            <color indexed="81"/>
            <rFont val="Tahoma"/>
            <family val="2"/>
          </rPr>
          <t>ZG</t>
        </r>
        <r>
          <rPr>
            <sz val="9"/>
            <color indexed="81"/>
            <rFont val="宋体"/>
            <family val="3"/>
            <charset val="134"/>
          </rPr>
          <t>：王梦兰）</t>
        </r>
      </text>
    </comment>
    <comment ref="BZ9"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AB11" authorId="0">
      <text>
        <r>
          <rPr>
            <b/>
            <sz val="9"/>
            <color indexed="81"/>
            <rFont val="宋体"/>
            <family val="3"/>
            <charset val="134"/>
          </rPr>
          <t>徐梦薇</t>
        </r>
        <r>
          <rPr>
            <b/>
            <sz val="9"/>
            <color indexed="81"/>
            <rFont val="Tahoma"/>
            <family val="2"/>
          </rPr>
          <t>/Mengwei Xu:</t>
        </r>
        <r>
          <rPr>
            <sz val="9"/>
            <color indexed="81"/>
            <rFont val="Tahoma"/>
            <family val="2"/>
          </rPr>
          <t xml:space="preserve">
1、二季度个险离职12人，包含内勤9人，外勤3人；2、二季度银保离职3人，包含内勤2人，外勤1人；3、二季度团险外勤离职1人；4、二季度客服离职1人；二季度共离职17人                     </t>
        </r>
        <r>
          <rPr>
            <sz val="9"/>
            <color indexed="81"/>
            <rFont val="宋体"/>
            <family val="3"/>
            <charset val="134"/>
          </rPr>
          <t>人</t>
        </r>
        <r>
          <rPr>
            <sz val="9"/>
            <color indexed="81"/>
            <rFont val="Tahoma"/>
            <family val="2"/>
          </rPr>
          <t xml:space="preserve">                  </t>
        </r>
      </text>
    </comment>
    <comment ref="AF11" authorId="1">
      <text>
        <r>
          <rPr>
            <b/>
            <sz val="9"/>
            <color indexed="81"/>
            <rFont val="Tahoma"/>
            <family val="2"/>
          </rPr>
          <t>1.</t>
        </r>
        <r>
          <rPr>
            <b/>
            <sz val="9"/>
            <color indexed="81"/>
            <rFont val="宋体"/>
            <family val="2"/>
            <charset val="134"/>
          </rPr>
          <t>总部要求银保售后服务专员岗位取消。</t>
        </r>
      </text>
    </comment>
    <comment ref="BF1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个险人员及团险销售人员离职率较高</t>
        </r>
      </text>
    </comment>
    <comment ref="BR1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离职共</t>
        </r>
        <r>
          <rPr>
            <sz val="9"/>
            <color indexed="81"/>
            <rFont val="Tahoma"/>
            <family val="2"/>
          </rPr>
          <t>36</t>
        </r>
        <r>
          <rPr>
            <sz val="9"/>
            <color indexed="81"/>
            <rFont val="宋体"/>
            <family val="3"/>
            <charset val="134"/>
          </rPr>
          <t>人次，统计数据不包括分公司总经理</t>
        </r>
        <r>
          <rPr>
            <sz val="9"/>
            <color indexed="81"/>
            <rFont val="Tahoma"/>
            <family val="2"/>
          </rPr>
          <t>,</t>
        </r>
        <r>
          <rPr>
            <sz val="9"/>
            <color indexed="81"/>
            <rFont val="宋体"/>
            <family val="3"/>
            <charset val="134"/>
          </rPr>
          <t>包含分公司总经理助理兼渠道负责人。（其中有一人</t>
        </r>
        <r>
          <rPr>
            <sz val="9"/>
            <color indexed="81"/>
            <rFont val="Tahoma"/>
            <family val="2"/>
          </rPr>
          <t>6</t>
        </r>
        <r>
          <rPr>
            <sz val="9"/>
            <color indexed="81"/>
            <rFont val="宋体"/>
            <family val="3"/>
            <charset val="134"/>
          </rPr>
          <t>月</t>
        </r>
        <r>
          <rPr>
            <sz val="9"/>
            <color indexed="81"/>
            <rFont val="Tahoma"/>
            <family val="2"/>
          </rPr>
          <t>30</t>
        </r>
        <r>
          <rPr>
            <sz val="9"/>
            <color indexed="81"/>
            <rFont val="宋体"/>
            <family val="3"/>
            <charset val="134"/>
          </rPr>
          <t>日最后工作日，计入第三季度离职）</t>
        </r>
      </text>
    </comment>
    <comment ref="BR1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前</t>
        </r>
        <r>
          <rPr>
            <sz val="9"/>
            <color indexed="81"/>
            <rFont val="Tahoma"/>
            <family val="2"/>
          </rPr>
          <t>4</t>
        </r>
        <r>
          <rPr>
            <sz val="9"/>
            <color indexed="81"/>
            <rFont val="宋体"/>
            <family val="3"/>
            <charset val="134"/>
          </rPr>
          <t>个季度初省级分公司及以下分支机构有</t>
        </r>
        <r>
          <rPr>
            <sz val="9"/>
            <color indexed="81"/>
            <rFont val="Tahoma"/>
            <family val="2"/>
          </rPr>
          <t>48</t>
        </r>
        <r>
          <rPr>
            <sz val="9"/>
            <color indexed="81"/>
            <rFont val="宋体"/>
            <family val="3"/>
            <charset val="134"/>
          </rPr>
          <t>人</t>
        </r>
      </text>
    </comment>
    <comment ref="AB1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t>
        </r>
        <r>
          <rPr>
            <sz val="9"/>
            <color indexed="81"/>
            <rFont val="Tahoma"/>
            <family val="2"/>
          </rPr>
          <t>13</t>
        </r>
        <r>
          <rPr>
            <sz val="9"/>
            <color indexed="81"/>
            <rFont val="宋体"/>
            <family val="3"/>
            <charset val="134"/>
          </rPr>
          <t>：李鑫</t>
        </r>
        <r>
          <rPr>
            <sz val="9"/>
            <color indexed="81"/>
            <rFont val="Tahoma"/>
            <family val="2"/>
          </rPr>
          <t>2018.1.1</t>
        </r>
        <r>
          <rPr>
            <sz val="9"/>
            <color indexed="81"/>
            <rFont val="宋体"/>
            <family val="3"/>
            <charset val="134"/>
          </rPr>
          <t>由总部个险异动至天分个险培训部。
客服：</t>
        </r>
        <r>
          <rPr>
            <sz val="9"/>
            <color indexed="81"/>
            <rFont val="Tahoma"/>
            <family val="2"/>
          </rPr>
          <t>1</t>
        </r>
        <r>
          <rPr>
            <sz val="9"/>
            <color indexed="81"/>
            <rFont val="宋体"/>
            <family val="3"/>
            <charset val="134"/>
          </rPr>
          <t>团险：</t>
        </r>
        <r>
          <rPr>
            <sz val="9"/>
            <color indexed="81"/>
            <rFont val="Tahoma"/>
            <family val="2"/>
          </rPr>
          <t>6</t>
        </r>
        <r>
          <rPr>
            <sz val="9"/>
            <color indexed="81"/>
            <rFont val="宋体"/>
            <family val="3"/>
            <charset val="134"/>
          </rPr>
          <t>银保：</t>
        </r>
        <r>
          <rPr>
            <sz val="9"/>
            <color indexed="81"/>
            <rFont val="Tahoma"/>
            <family val="2"/>
          </rPr>
          <t>5续期：2</t>
        </r>
      </text>
    </comment>
    <comment ref="AN1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银保新开招行渠道，团队引进</t>
        </r>
        <r>
          <rPr>
            <sz val="9"/>
            <color indexed="81"/>
            <rFont val="Tahoma"/>
            <family val="2"/>
          </rPr>
          <t>11</t>
        </r>
        <r>
          <rPr>
            <sz val="9"/>
            <color indexed="81"/>
            <rFont val="宋体"/>
            <family val="3"/>
            <charset val="134"/>
          </rPr>
          <t>人</t>
        </r>
      </text>
    </comment>
    <comment ref="BL13" authorId="0">
      <text>
        <r>
          <rPr>
            <b/>
            <sz val="9"/>
            <color indexed="81"/>
            <rFont val="宋体"/>
            <family val="3"/>
            <charset val="134"/>
          </rPr>
          <t>徐梦薇</t>
        </r>
        <r>
          <rPr>
            <b/>
            <sz val="9"/>
            <color indexed="81"/>
            <rFont val="Tahoma"/>
            <family val="2"/>
          </rPr>
          <t>/Mengwei Xu:</t>
        </r>
        <r>
          <rPr>
            <sz val="9"/>
            <color indexed="81"/>
            <rFont val="Tahoma"/>
            <family val="2"/>
          </rPr>
          <t xml:space="preserve">
2018Q2</t>
        </r>
        <r>
          <rPr>
            <sz val="9"/>
            <color indexed="81"/>
            <rFont val="宋体"/>
            <family val="3"/>
            <charset val="134"/>
          </rPr>
          <t>整体增加人员</t>
        </r>
        <r>
          <rPr>
            <sz val="9"/>
            <color indexed="81"/>
            <rFont val="Tahoma"/>
            <family val="2"/>
          </rPr>
          <t>74</t>
        </r>
        <r>
          <rPr>
            <sz val="9"/>
            <color indexed="81"/>
            <rFont val="宋体"/>
            <family val="3"/>
            <charset val="134"/>
          </rPr>
          <t>人：个险内勤</t>
        </r>
        <r>
          <rPr>
            <sz val="9"/>
            <color indexed="81"/>
            <rFont val="Tahoma"/>
            <family val="2"/>
          </rPr>
          <t>20</t>
        </r>
        <r>
          <rPr>
            <sz val="9"/>
            <color indexed="81"/>
            <rFont val="宋体"/>
            <family val="3"/>
            <charset val="134"/>
          </rPr>
          <t>人、团险</t>
        </r>
        <r>
          <rPr>
            <sz val="9"/>
            <color indexed="81"/>
            <rFont val="Tahoma"/>
            <family val="2"/>
          </rPr>
          <t>3</t>
        </r>
        <r>
          <rPr>
            <sz val="9"/>
            <color indexed="81"/>
            <rFont val="宋体"/>
            <family val="3"/>
            <charset val="134"/>
          </rPr>
          <t>人（内勤</t>
        </r>
        <r>
          <rPr>
            <sz val="9"/>
            <color indexed="81"/>
            <rFont val="Tahoma"/>
            <family val="2"/>
          </rPr>
          <t>1</t>
        </r>
        <r>
          <rPr>
            <sz val="9"/>
            <color indexed="81"/>
            <rFont val="宋体"/>
            <family val="3"/>
            <charset val="134"/>
          </rPr>
          <t>人、销售</t>
        </r>
        <r>
          <rPr>
            <sz val="9"/>
            <color indexed="81"/>
            <rFont val="Tahoma"/>
            <family val="2"/>
          </rPr>
          <t>2</t>
        </r>
        <r>
          <rPr>
            <sz val="9"/>
            <color indexed="81"/>
            <rFont val="宋体"/>
            <family val="3"/>
            <charset val="134"/>
          </rPr>
          <t>人）、银保</t>
        </r>
        <r>
          <rPr>
            <sz val="9"/>
            <color indexed="81"/>
            <rFont val="Tahoma"/>
            <family val="2"/>
          </rPr>
          <t>48</t>
        </r>
        <r>
          <rPr>
            <sz val="9"/>
            <color indexed="81"/>
            <rFont val="宋体"/>
            <family val="3"/>
            <charset val="134"/>
          </rPr>
          <t>人（销售</t>
        </r>
        <r>
          <rPr>
            <sz val="9"/>
            <color indexed="81"/>
            <rFont val="Tahoma"/>
            <family val="2"/>
          </rPr>
          <t>47</t>
        </r>
        <r>
          <rPr>
            <sz val="9"/>
            <color indexed="81"/>
            <rFont val="宋体"/>
            <family val="3"/>
            <charset val="134"/>
          </rPr>
          <t>人、内勤</t>
        </r>
        <r>
          <rPr>
            <sz val="9"/>
            <color indexed="81"/>
            <rFont val="Tahoma"/>
            <family val="2"/>
          </rPr>
          <t>1</t>
        </r>
        <r>
          <rPr>
            <sz val="9"/>
            <color indexed="81"/>
            <rFont val="宋体"/>
            <family val="3"/>
            <charset val="134"/>
          </rPr>
          <t>人）、多元销售</t>
        </r>
        <r>
          <rPr>
            <sz val="9"/>
            <color indexed="81"/>
            <rFont val="Tahoma"/>
            <family val="2"/>
          </rPr>
          <t>1</t>
        </r>
        <r>
          <rPr>
            <sz val="9"/>
            <color indexed="81"/>
            <rFont val="宋体"/>
            <family val="3"/>
            <charset val="134"/>
          </rPr>
          <t>人、续期销售</t>
        </r>
        <r>
          <rPr>
            <sz val="9"/>
            <color indexed="81"/>
            <rFont val="Tahoma"/>
            <family val="2"/>
          </rPr>
          <t>2</t>
        </r>
        <r>
          <rPr>
            <sz val="9"/>
            <color indexed="81"/>
            <rFont val="宋体"/>
            <family val="3"/>
            <charset val="134"/>
          </rPr>
          <t>人。</t>
        </r>
      </text>
    </comment>
    <comment ref="BR13" authorId="0">
      <text>
        <r>
          <rPr>
            <b/>
            <sz val="9"/>
            <color indexed="81"/>
            <rFont val="宋体"/>
            <family val="3"/>
            <charset val="134"/>
          </rPr>
          <t>徐梦薇</t>
        </r>
        <r>
          <rPr>
            <b/>
            <sz val="9"/>
            <color indexed="81"/>
            <rFont val="Tahoma"/>
            <family val="2"/>
          </rPr>
          <t>/Mengwei Xu:</t>
        </r>
        <r>
          <rPr>
            <sz val="9"/>
            <color indexed="81"/>
            <rFont val="Tahoma"/>
            <family val="2"/>
          </rPr>
          <t xml:space="preserve">
17.7-18.6</t>
        </r>
        <r>
          <rPr>
            <sz val="9"/>
            <color indexed="81"/>
            <rFont val="宋体"/>
            <family val="3"/>
            <charset val="134"/>
          </rPr>
          <t>增加员工</t>
        </r>
        <r>
          <rPr>
            <sz val="9"/>
            <color indexed="81"/>
            <rFont val="Tahoma"/>
            <family val="2"/>
          </rPr>
          <t>25</t>
        </r>
        <r>
          <rPr>
            <sz val="9"/>
            <color indexed="81"/>
            <rFont val="宋体"/>
            <family val="3"/>
            <charset val="134"/>
          </rPr>
          <t>人</t>
        </r>
      </text>
    </comment>
    <comment ref="BJ14"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每季度总部合规培训共</t>
        </r>
        <r>
          <rPr>
            <sz val="9"/>
            <color indexed="81"/>
            <rFont val="Tahoma"/>
            <family val="2"/>
          </rPr>
          <t>4</t>
        </r>
        <r>
          <rPr>
            <sz val="9"/>
            <color indexed="81"/>
            <rFont val="宋体"/>
            <family val="3"/>
            <charset val="134"/>
          </rPr>
          <t>次。</t>
        </r>
      </text>
    </comment>
    <comment ref="BL14"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每季度总部合规培训共</t>
        </r>
        <r>
          <rPr>
            <sz val="9"/>
            <color indexed="81"/>
            <rFont val="Tahoma"/>
            <family val="2"/>
          </rPr>
          <t>4</t>
        </r>
        <r>
          <rPr>
            <sz val="9"/>
            <color indexed="81"/>
            <rFont val="宋体"/>
            <family val="3"/>
            <charset val="134"/>
          </rPr>
          <t>次。</t>
        </r>
      </text>
    </comment>
    <comment ref="BX14" authorId="2">
      <text>
        <r>
          <rPr>
            <b/>
            <sz val="9"/>
            <color indexed="81"/>
            <rFont val="宋体"/>
            <family val="3"/>
            <charset val="134"/>
          </rPr>
          <t>徐梦薇</t>
        </r>
        <r>
          <rPr>
            <b/>
            <sz val="9"/>
            <color indexed="81"/>
            <rFont val="Tahoma"/>
            <family val="2"/>
          </rPr>
          <t>:</t>
        </r>
        <r>
          <rPr>
            <sz val="9"/>
            <color indexed="81"/>
            <rFont val="Tahoma"/>
            <family val="2"/>
          </rPr>
          <t xml:space="preserve">
2017.9.8</t>
        </r>
        <r>
          <rPr>
            <sz val="9"/>
            <color indexed="81"/>
            <rFont val="宋体"/>
            <family val="3"/>
            <charset val="134"/>
          </rPr>
          <t>合规与风险培训，</t>
        </r>
        <r>
          <rPr>
            <sz val="9"/>
            <color indexed="81"/>
            <rFont val="Tahoma"/>
            <family val="2"/>
          </rPr>
          <t>2017</t>
        </r>
        <r>
          <rPr>
            <sz val="9"/>
            <color indexed="81"/>
            <rFont val="宋体"/>
            <family val="3"/>
            <charset val="134"/>
          </rPr>
          <t>年四季度系统合规培训，</t>
        </r>
        <r>
          <rPr>
            <sz val="9"/>
            <color indexed="81"/>
            <rFont val="Tahoma"/>
            <family val="2"/>
          </rPr>
          <t>2018</t>
        </r>
        <r>
          <rPr>
            <sz val="9"/>
            <color indexed="81"/>
            <rFont val="宋体"/>
            <family val="3"/>
            <charset val="134"/>
          </rPr>
          <t>年</t>
        </r>
        <r>
          <rPr>
            <sz val="9"/>
            <color indexed="81"/>
            <rFont val="Tahoma"/>
            <family val="2"/>
          </rPr>
          <t>1</t>
        </r>
        <r>
          <rPr>
            <sz val="9"/>
            <color indexed="81"/>
            <rFont val="宋体"/>
            <family val="3"/>
            <charset val="134"/>
          </rPr>
          <t>季度合规培训</t>
        </r>
      </text>
    </comment>
    <comment ref="V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根据去年合作情况，剔除一些活动力低的合作公司。
团险</t>
        </r>
        <r>
          <rPr>
            <sz val="9"/>
            <color indexed="81"/>
            <rFont val="Tahoma"/>
            <family val="2"/>
          </rPr>
          <t xml:space="preserve">:10 </t>
        </r>
        <r>
          <rPr>
            <sz val="9"/>
            <color indexed="81"/>
            <rFont val="宋体"/>
            <family val="3"/>
            <charset val="134"/>
          </rPr>
          <t>银保：</t>
        </r>
        <r>
          <rPr>
            <sz val="9"/>
            <color indexed="81"/>
            <rFont val="Tahoma"/>
            <family val="2"/>
          </rPr>
          <t xml:space="preserve">4 </t>
        </r>
        <r>
          <rPr>
            <sz val="9"/>
            <color indexed="81"/>
            <rFont val="宋体"/>
            <family val="3"/>
            <charset val="134"/>
          </rPr>
          <t>多元：</t>
        </r>
        <r>
          <rPr>
            <sz val="9"/>
            <color indexed="81"/>
            <rFont val="Tahoma"/>
            <family val="2"/>
          </rPr>
          <t>1</t>
        </r>
      </text>
    </comment>
    <comment ref="X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根据去年合作情况，剔除一些活动力低的合作公司。</t>
        </r>
      </text>
    </comment>
    <comment ref="AD17" authorId="1">
      <text>
        <r>
          <rPr>
            <b/>
            <sz val="9"/>
            <color indexed="81"/>
            <rFont val="宋体"/>
            <family val="3"/>
            <charset val="134"/>
          </rPr>
          <t xml:space="preserve">去除了石家庄的8家
</t>
        </r>
      </text>
    </comment>
    <comment ref="AH17"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新增（金山、恒荣汇彬）</t>
        </r>
        <r>
          <rPr>
            <sz val="9"/>
            <color indexed="81"/>
            <rFont val="Tahoma"/>
            <family val="2"/>
          </rPr>
          <t>2</t>
        </r>
        <r>
          <rPr>
            <sz val="9"/>
            <color indexed="81"/>
            <rFont val="宋体"/>
            <family val="3"/>
            <charset val="134"/>
          </rPr>
          <t>家</t>
        </r>
      </text>
    </comment>
    <comment ref="AL17" authorId="1">
      <text>
        <r>
          <rPr>
            <b/>
            <sz val="9"/>
            <color indexed="81"/>
            <rFont val="宋体"/>
            <family val="3"/>
            <charset val="134"/>
          </rPr>
          <t>本季度新增</t>
        </r>
        <r>
          <rPr>
            <b/>
            <sz val="9"/>
            <color indexed="81"/>
            <rFont val="Tahoma"/>
            <family val="2"/>
          </rPr>
          <t>1</t>
        </r>
        <r>
          <rPr>
            <b/>
            <sz val="9"/>
            <color indexed="81"/>
            <rFont val="宋体"/>
            <family val="3"/>
            <charset val="134"/>
          </rPr>
          <t>家：招商银行</t>
        </r>
      </text>
    </comment>
    <comment ref="AR17" authorId="1">
      <text>
        <r>
          <rPr>
            <b/>
            <sz val="9"/>
            <color indexed="81"/>
            <rFont val="宋体"/>
            <family val="3"/>
            <charset val="134"/>
          </rPr>
          <t>团险：新增签订</t>
        </r>
        <r>
          <rPr>
            <b/>
            <sz val="9"/>
            <color indexed="81"/>
            <rFont val="Tahoma"/>
            <family val="2"/>
          </rPr>
          <t>2</t>
        </r>
        <r>
          <rPr>
            <b/>
            <sz val="9"/>
            <color indexed="81"/>
            <rFont val="宋体"/>
            <family val="3"/>
            <charset val="134"/>
          </rPr>
          <t>家经纪公司
多元：减少</t>
        </r>
        <r>
          <rPr>
            <b/>
            <sz val="9"/>
            <color indexed="81"/>
            <rFont val="Tahoma"/>
            <family val="2"/>
          </rPr>
          <t>1</t>
        </r>
        <r>
          <rPr>
            <b/>
            <sz val="9"/>
            <color indexed="81"/>
            <rFont val="宋体"/>
            <family val="3"/>
            <charset val="134"/>
          </rPr>
          <t>家</t>
        </r>
      </text>
    </comment>
    <comment ref="AT17"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多元：</t>
        </r>
        <r>
          <rPr>
            <sz val="9"/>
            <color indexed="81"/>
            <rFont val="Tahoma"/>
            <family val="2"/>
          </rPr>
          <t>23(</t>
        </r>
        <r>
          <rPr>
            <sz val="9"/>
            <color indexed="81"/>
            <rFont val="宋体"/>
            <family val="3"/>
            <charset val="134"/>
          </rPr>
          <t>分公司签：华邦、恒生、红叶、江天民生、万舜、祺顺、盛大众联、荣泰、统一、华厦、华成、华阳、通鼎、嘉隆、享安、汇金永信、明亚、玄元、中联金安、万联、安邦国际；总公司签：鑫山、黎明</t>
        </r>
        <r>
          <rPr>
            <sz val="9"/>
            <color indexed="81"/>
            <rFont val="Tahoma"/>
            <family val="2"/>
          </rPr>
          <t xml:space="preserve">)
</t>
        </r>
        <r>
          <rPr>
            <sz val="9"/>
            <color indexed="81"/>
            <rFont val="宋体"/>
            <family val="3"/>
            <charset val="134"/>
          </rPr>
          <t>团险：</t>
        </r>
        <r>
          <rPr>
            <sz val="9"/>
            <color indexed="81"/>
            <rFont val="Tahoma"/>
            <family val="2"/>
          </rPr>
          <t>11</t>
        </r>
        <r>
          <rPr>
            <sz val="9"/>
            <color indexed="81"/>
            <rFont val="宋体"/>
            <family val="3"/>
            <charset val="134"/>
          </rPr>
          <t>，截至</t>
        </r>
        <r>
          <rPr>
            <sz val="9"/>
            <color indexed="81"/>
            <rFont val="Tahoma"/>
            <family val="2"/>
          </rPr>
          <t>20180630</t>
        </r>
        <r>
          <rPr>
            <sz val="9"/>
            <color indexed="81"/>
            <rFont val="宋体"/>
            <family val="3"/>
            <charset val="134"/>
          </rPr>
          <t>有效的代理合同：上海隆华保险经纪有限公司、圣源祥保险经纪有限公司江苏分公司、上海中安融合保险经纪有限公司常州分公司、江苏华远保险销售有限公司、江苏华尊保险代理有限公司、华阳保险销售有限公司、江苏一迪保险代理有限公司南通分公司、南京泰恒保险代理有限公司、华泰保险经纪有限公司江苏分公司、江苏惠多利保险代理有限公司、江苏华美保险代理有限公司
银保</t>
        </r>
        <r>
          <rPr>
            <sz val="9"/>
            <color indexed="81"/>
            <rFont val="Tahoma"/>
            <family val="2"/>
          </rPr>
          <t>,2</t>
        </r>
        <r>
          <rPr>
            <sz val="9"/>
            <color indexed="81"/>
            <rFont val="宋体"/>
            <family val="3"/>
            <charset val="134"/>
          </rPr>
          <t>，工行、招行</t>
        </r>
      </text>
    </comment>
    <comment ref="AV17"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团险：到期</t>
        </r>
        <r>
          <rPr>
            <sz val="9"/>
            <color indexed="81"/>
            <rFont val="Tahoma"/>
            <family val="2"/>
          </rPr>
          <t>1</t>
        </r>
        <r>
          <rPr>
            <sz val="9"/>
            <color indexed="81"/>
            <rFont val="宋体"/>
            <family val="3"/>
            <charset val="134"/>
          </rPr>
          <t>家专业代理公司</t>
        </r>
        <r>
          <rPr>
            <sz val="9"/>
            <color indexed="81"/>
            <rFont val="Tahoma"/>
            <family val="2"/>
          </rPr>
          <t>1</t>
        </r>
        <r>
          <rPr>
            <sz val="9"/>
            <color indexed="81"/>
            <rFont val="宋体"/>
            <family val="3"/>
            <charset val="134"/>
          </rPr>
          <t>家中介公司，新签订</t>
        </r>
        <r>
          <rPr>
            <sz val="9"/>
            <color indexed="81"/>
            <rFont val="Tahoma"/>
            <family val="2"/>
          </rPr>
          <t>1</t>
        </r>
        <r>
          <rPr>
            <sz val="9"/>
            <color indexed="81"/>
            <rFont val="宋体"/>
            <family val="3"/>
            <charset val="134"/>
          </rPr>
          <t>家经纪公司
银保新增招行</t>
        </r>
      </text>
    </comment>
    <comment ref="AX17" authorId="1">
      <text>
        <r>
          <rPr>
            <b/>
            <sz val="9"/>
            <color indexed="81"/>
            <rFont val="宋体"/>
            <family val="2"/>
            <charset val="134"/>
          </rPr>
          <t>银保：</t>
        </r>
        <r>
          <rPr>
            <b/>
            <sz val="9"/>
            <color indexed="81"/>
            <rFont val="Tahoma"/>
            <family val="2"/>
          </rPr>
          <t>3</t>
        </r>
        <r>
          <rPr>
            <b/>
            <sz val="9"/>
            <color indexed="81"/>
            <rFont val="宋体"/>
            <family val="2"/>
            <charset val="134"/>
          </rPr>
          <t>；团险：</t>
        </r>
        <r>
          <rPr>
            <b/>
            <sz val="9"/>
            <color indexed="81"/>
            <rFont val="Tahoma"/>
            <family val="2"/>
          </rPr>
          <t>8</t>
        </r>
        <r>
          <rPr>
            <b/>
            <sz val="9"/>
            <color indexed="81"/>
            <rFont val="宋体"/>
            <family val="2"/>
            <charset val="134"/>
          </rPr>
          <t>；多元：</t>
        </r>
        <r>
          <rPr>
            <b/>
            <sz val="9"/>
            <color indexed="81"/>
            <rFont val="Tahoma"/>
            <family val="2"/>
          </rPr>
          <t>39</t>
        </r>
      </text>
    </comment>
    <comment ref="AZ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t>
        </r>
        <r>
          <rPr>
            <sz val="9"/>
            <color indexed="81"/>
            <rFont val="Tahoma"/>
            <family val="2"/>
          </rPr>
          <t>3</t>
        </r>
        <r>
          <rPr>
            <sz val="9"/>
            <color indexed="81"/>
            <rFont val="宋体"/>
            <family val="3"/>
            <charset val="134"/>
          </rPr>
          <t>，多元：</t>
        </r>
        <r>
          <rPr>
            <sz val="9"/>
            <color indexed="81"/>
            <rFont val="Tahoma"/>
            <family val="2"/>
          </rPr>
          <t xml:space="preserve">44 </t>
        </r>
        <r>
          <rPr>
            <sz val="9"/>
            <color indexed="81"/>
            <rFont val="宋体"/>
            <family val="3"/>
            <charset val="134"/>
          </rPr>
          <t>团险</t>
        </r>
        <r>
          <rPr>
            <sz val="9"/>
            <color indexed="81"/>
            <rFont val="Tahoma"/>
            <family val="2"/>
          </rPr>
          <t xml:space="preserve">; 9
</t>
        </r>
      </text>
    </comment>
    <comment ref="BD17" authorId="1">
      <text>
        <r>
          <rPr>
            <b/>
            <sz val="9"/>
            <color indexed="81"/>
            <rFont val="宋体"/>
            <family val="3"/>
            <charset val="134"/>
          </rPr>
          <t>银保渠道</t>
        </r>
        <r>
          <rPr>
            <b/>
            <sz val="9"/>
            <color indexed="81"/>
            <rFont val="Tahoma"/>
            <family val="2"/>
          </rPr>
          <t>2016</t>
        </r>
        <r>
          <rPr>
            <b/>
            <sz val="9"/>
            <color indexed="81"/>
            <rFont val="宋体"/>
            <family val="3"/>
            <charset val="134"/>
          </rPr>
          <t>年</t>
        </r>
        <r>
          <rPr>
            <b/>
            <sz val="9"/>
            <color indexed="81"/>
            <rFont val="Tahoma"/>
            <family val="2"/>
          </rPr>
          <t>11</t>
        </r>
        <r>
          <rPr>
            <b/>
            <sz val="9"/>
            <color indexed="81"/>
            <rFont val="宋体"/>
            <family val="3"/>
            <charset val="134"/>
          </rPr>
          <t>月关闭，但有工行和青岛银行各</t>
        </r>
        <r>
          <rPr>
            <b/>
            <sz val="9"/>
            <color indexed="81"/>
            <rFont val="Tahoma"/>
            <family val="2"/>
          </rPr>
          <t>1</t>
        </r>
        <r>
          <rPr>
            <b/>
            <sz val="9"/>
            <color indexed="81"/>
            <rFont val="宋体"/>
            <family val="3"/>
            <charset val="134"/>
          </rPr>
          <t>份协议仍处在有效期内</t>
        </r>
      </text>
    </comment>
    <comment ref="BF17"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团险</t>
        </r>
        <r>
          <rPr>
            <sz val="9"/>
            <color indexed="81"/>
            <rFont val="Tahoma"/>
            <family val="2"/>
          </rPr>
          <t xml:space="preserve">4 </t>
        </r>
        <r>
          <rPr>
            <sz val="9"/>
            <color indexed="81"/>
            <rFont val="宋体"/>
            <family val="3"/>
            <charset val="134"/>
          </rPr>
          <t>银保</t>
        </r>
        <r>
          <rPr>
            <sz val="9"/>
            <color indexed="81"/>
            <rFont val="Tahoma"/>
            <family val="2"/>
          </rPr>
          <t xml:space="preserve"> 2
</t>
        </r>
        <r>
          <rPr>
            <sz val="9"/>
            <color indexed="81"/>
            <rFont val="宋体"/>
            <family val="3"/>
            <charset val="134"/>
          </rPr>
          <t>青岛银保渠道</t>
        </r>
        <r>
          <rPr>
            <sz val="9"/>
            <color indexed="81"/>
            <rFont val="Tahoma"/>
            <family val="2"/>
          </rPr>
          <t>2016</t>
        </r>
        <r>
          <rPr>
            <sz val="9"/>
            <color indexed="81"/>
            <rFont val="宋体"/>
            <family val="3"/>
            <charset val="134"/>
          </rPr>
          <t>年</t>
        </r>
        <r>
          <rPr>
            <sz val="9"/>
            <color indexed="81"/>
            <rFont val="Tahoma"/>
            <family val="2"/>
          </rPr>
          <t>11</t>
        </r>
        <r>
          <rPr>
            <sz val="9"/>
            <color indexed="81"/>
            <rFont val="宋体"/>
            <family val="3"/>
            <charset val="134"/>
          </rPr>
          <t>月起暂时关闭</t>
        </r>
      </text>
    </comment>
    <comment ref="BL17"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签订的合作协议</t>
        </r>
      </text>
    </comment>
    <comment ref="BV17" authorId="1">
      <text>
        <r>
          <rPr>
            <b/>
            <sz val="9"/>
            <color indexed="81"/>
            <rFont val="宋体"/>
            <family val="3"/>
            <charset val="134"/>
          </rPr>
          <t>银保</t>
        </r>
        <r>
          <rPr>
            <b/>
            <sz val="9"/>
            <color indexed="81"/>
            <rFont val="Tahoma"/>
            <family val="2"/>
          </rPr>
          <t>—</t>
        </r>
        <r>
          <rPr>
            <b/>
            <sz val="9"/>
            <color indexed="81"/>
            <rFont val="宋体"/>
            <family val="3"/>
            <charset val="134"/>
          </rPr>
          <t>建行：全面业务合作补充协议；工行：总部签署准入协议；天津银行：总部签署业务合作协议</t>
        </r>
        <r>
          <rPr>
            <b/>
            <sz val="9"/>
            <color indexed="81"/>
            <rFont val="Tahoma"/>
            <family val="2"/>
          </rPr>
          <t xml:space="preserve">  </t>
        </r>
        <r>
          <rPr>
            <b/>
            <sz val="9"/>
            <color indexed="81"/>
            <rFont val="宋体"/>
            <family val="3"/>
            <charset val="134"/>
          </rPr>
          <t>团险</t>
        </r>
        <r>
          <rPr>
            <b/>
            <sz val="9"/>
            <color indexed="81"/>
            <rFont val="Tahoma"/>
            <family val="2"/>
          </rPr>
          <t>—</t>
        </r>
        <r>
          <rPr>
            <b/>
            <sz val="9"/>
            <color indexed="81"/>
            <rFont val="宋体"/>
            <family val="3"/>
            <charset val="134"/>
          </rPr>
          <t>共</t>
        </r>
        <r>
          <rPr>
            <b/>
            <sz val="9"/>
            <color indexed="81"/>
            <rFont val="Tahoma"/>
            <family val="2"/>
          </rPr>
          <t>22</t>
        </r>
        <r>
          <rPr>
            <b/>
            <sz val="9"/>
            <color indexed="81"/>
            <rFont val="宋体"/>
            <family val="3"/>
            <charset val="134"/>
          </rPr>
          <t>份合作协议，详见合作机构清单</t>
        </r>
        <r>
          <rPr>
            <b/>
            <sz val="9"/>
            <color indexed="81"/>
            <rFont val="Tahoma"/>
            <family val="2"/>
          </rPr>
          <t xml:space="preserve">   </t>
        </r>
        <r>
          <rPr>
            <b/>
            <sz val="9"/>
            <color indexed="81"/>
            <rFont val="宋体"/>
            <family val="3"/>
            <charset val="134"/>
          </rPr>
          <t>多元：共</t>
        </r>
        <r>
          <rPr>
            <b/>
            <sz val="9"/>
            <color indexed="81"/>
            <rFont val="Tahoma"/>
            <family val="2"/>
          </rPr>
          <t>13</t>
        </r>
        <r>
          <rPr>
            <b/>
            <sz val="9"/>
            <color indexed="81"/>
            <rFont val="宋体"/>
            <family val="3"/>
            <charset val="134"/>
          </rPr>
          <t xml:space="preserve">份合作协议，详见合作机构清单
</t>
        </r>
        <r>
          <rPr>
            <b/>
            <sz val="9"/>
            <color indexed="81"/>
            <rFont val="Tahoma"/>
            <family val="2"/>
          </rPr>
          <t>2018</t>
        </r>
        <r>
          <rPr>
            <b/>
            <sz val="9"/>
            <color indexed="81"/>
            <rFont val="宋体"/>
            <family val="3"/>
            <charset val="134"/>
          </rPr>
          <t>年</t>
        </r>
        <r>
          <rPr>
            <b/>
            <sz val="9"/>
            <color indexed="81"/>
            <rFont val="Tahoma"/>
            <family val="2"/>
          </rPr>
          <t>1</t>
        </r>
        <r>
          <rPr>
            <b/>
            <sz val="9"/>
            <color indexed="81"/>
            <rFont val="宋体"/>
            <family val="3"/>
            <charset val="134"/>
          </rPr>
          <t>季度川分启动了多元渠道，截止季度末，共与</t>
        </r>
        <r>
          <rPr>
            <b/>
            <sz val="9"/>
            <color indexed="81"/>
            <rFont val="Tahoma"/>
            <family val="2"/>
          </rPr>
          <t>13</t>
        </r>
        <r>
          <rPr>
            <b/>
            <sz val="9"/>
            <color indexed="81"/>
            <rFont val="宋体"/>
            <family val="3"/>
            <charset val="134"/>
          </rPr>
          <t>家代理公司签订了协议。</t>
        </r>
      </text>
    </comment>
    <comment ref="BX17" authorId="1">
      <text>
        <r>
          <rPr>
            <b/>
            <sz val="9"/>
            <color indexed="81"/>
            <rFont val="宋体"/>
            <family val="3"/>
            <charset val="134"/>
          </rPr>
          <t>银保——建行：全面业务合作补充协议 ；工行：总部签署准入协议；天津银行：总部签署；大连银行：总部签署                   团险——  签订23家                             多元——分对分签订14家，总对总签订2家，合计16家</t>
        </r>
      </text>
    </comment>
    <comment ref="V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团险：</t>
        </r>
        <r>
          <rPr>
            <sz val="9"/>
            <color indexed="81"/>
            <rFont val="Tahoma"/>
            <family val="2"/>
          </rPr>
          <t xml:space="preserve">10 </t>
        </r>
        <r>
          <rPr>
            <sz val="9"/>
            <color indexed="81"/>
            <rFont val="宋体"/>
            <family val="3"/>
            <charset val="134"/>
          </rPr>
          <t>银保：</t>
        </r>
        <r>
          <rPr>
            <sz val="9"/>
            <color indexed="81"/>
            <rFont val="Tahoma"/>
            <family val="2"/>
          </rPr>
          <t xml:space="preserve">4 </t>
        </r>
        <r>
          <rPr>
            <sz val="9"/>
            <color indexed="81"/>
            <rFont val="宋体"/>
            <family val="3"/>
            <charset val="134"/>
          </rPr>
          <t>多元：</t>
        </r>
        <r>
          <rPr>
            <sz val="9"/>
            <color indexed="81"/>
            <rFont val="Tahoma"/>
            <family val="2"/>
          </rPr>
          <t>1</t>
        </r>
      </text>
    </comment>
    <comment ref="X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根据去年合作情况，剔除一些活动力低的合作公司。</t>
        </r>
      </text>
    </comment>
    <comment ref="AD18" authorId="1">
      <text>
        <r>
          <rPr>
            <b/>
            <sz val="9"/>
            <color indexed="81"/>
            <rFont val="宋体"/>
            <family val="3"/>
            <charset val="134"/>
          </rPr>
          <t>同上</t>
        </r>
      </text>
    </comment>
    <comment ref="AH1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AL18" authorId="1">
      <text>
        <r>
          <rPr>
            <b/>
            <sz val="9"/>
            <color indexed="81"/>
            <rFont val="宋体"/>
            <family val="3"/>
            <charset val="134"/>
          </rPr>
          <t>同上</t>
        </r>
      </text>
    </comment>
    <comment ref="AR18" authorId="1">
      <text>
        <r>
          <rPr>
            <b/>
            <sz val="9"/>
            <color indexed="81"/>
            <rFont val="宋体"/>
            <family val="3"/>
            <charset val="134"/>
          </rPr>
          <t>团险：新增签订</t>
        </r>
        <r>
          <rPr>
            <b/>
            <sz val="9"/>
            <color indexed="81"/>
            <rFont val="Tahoma"/>
            <family val="2"/>
          </rPr>
          <t>2</t>
        </r>
        <r>
          <rPr>
            <b/>
            <sz val="9"/>
            <color indexed="81"/>
            <rFont val="宋体"/>
            <family val="3"/>
            <charset val="134"/>
          </rPr>
          <t>家经纪公司
多元：减少</t>
        </r>
        <r>
          <rPr>
            <b/>
            <sz val="9"/>
            <color indexed="81"/>
            <rFont val="Tahoma"/>
            <family val="2"/>
          </rPr>
          <t>1</t>
        </r>
        <r>
          <rPr>
            <b/>
            <sz val="9"/>
            <color indexed="81"/>
            <rFont val="宋体"/>
            <family val="3"/>
            <charset val="134"/>
          </rPr>
          <t>家</t>
        </r>
      </text>
    </comment>
    <comment ref="AT1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 xml:space="preserve">同上
</t>
        </r>
      </text>
    </comment>
    <comment ref="AX18" authorId="1">
      <text>
        <r>
          <rPr>
            <b/>
            <sz val="9"/>
            <color indexed="81"/>
            <rFont val="宋体"/>
            <family val="3"/>
            <charset val="134"/>
          </rPr>
          <t>同上</t>
        </r>
      </text>
    </comment>
    <comment ref="AZ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同上</t>
        </r>
      </text>
    </comment>
    <comment ref="BF1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 xml:space="preserve">同上
</t>
        </r>
      </text>
    </comment>
    <comment ref="BL1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实际合作的机构情况</t>
        </r>
      </text>
    </comment>
    <comment ref="BV18" authorId="1">
      <text>
        <r>
          <rPr>
            <b/>
            <sz val="9"/>
            <color indexed="81"/>
            <rFont val="宋体"/>
            <family val="3"/>
            <charset val="134"/>
          </rPr>
          <t>同上</t>
        </r>
      </text>
    </comment>
    <comment ref="BX18" authorId="1">
      <text>
        <r>
          <rPr>
            <b/>
            <sz val="9"/>
            <color indexed="81"/>
            <rFont val="宋体"/>
            <family val="3"/>
            <charset val="134"/>
          </rPr>
          <t>同上</t>
        </r>
      </text>
    </comment>
    <comment ref="T20" authorId="1">
      <text>
        <r>
          <rPr>
            <b/>
            <sz val="9"/>
            <color indexed="81"/>
            <rFont val="宋体"/>
            <family val="3"/>
            <charset val="134"/>
          </rPr>
          <t>个险：</t>
        </r>
        <r>
          <rPr>
            <b/>
            <sz val="9"/>
            <color indexed="81"/>
            <rFont val="Tahoma"/>
            <family val="2"/>
          </rPr>
          <t xml:space="preserve">104
</t>
        </r>
        <r>
          <rPr>
            <b/>
            <sz val="9"/>
            <color indexed="81"/>
            <rFont val="宋体"/>
            <family val="3"/>
            <charset val="134"/>
          </rPr>
          <t>团险：</t>
        </r>
        <r>
          <rPr>
            <b/>
            <sz val="9"/>
            <color indexed="81"/>
            <rFont val="Tahoma"/>
            <family val="2"/>
          </rPr>
          <t xml:space="preserve">7
</t>
        </r>
        <r>
          <rPr>
            <b/>
            <sz val="9"/>
            <color indexed="81"/>
            <rFont val="宋体"/>
            <family val="3"/>
            <charset val="134"/>
          </rPr>
          <t>银保：</t>
        </r>
        <r>
          <rPr>
            <b/>
            <sz val="9"/>
            <color indexed="81"/>
            <rFont val="Tahoma"/>
            <family val="2"/>
          </rPr>
          <t xml:space="preserve">4
</t>
        </r>
        <r>
          <rPr>
            <b/>
            <sz val="9"/>
            <color indexed="81"/>
            <rFont val="宋体"/>
            <family val="3"/>
            <charset val="134"/>
          </rPr>
          <t>多元：</t>
        </r>
        <r>
          <rPr>
            <b/>
            <sz val="9"/>
            <color indexed="81"/>
            <rFont val="Tahoma"/>
            <family val="2"/>
          </rPr>
          <t xml:space="preserve">2
</t>
        </r>
        <r>
          <rPr>
            <b/>
            <sz val="9"/>
            <color indexed="81"/>
            <rFont val="宋体"/>
            <family val="3"/>
            <charset val="134"/>
          </rPr>
          <t>续期：</t>
        </r>
        <r>
          <rPr>
            <b/>
            <sz val="9"/>
            <color indexed="81"/>
            <rFont val="Tahoma"/>
            <family val="2"/>
          </rPr>
          <t xml:space="preserve">2
</t>
        </r>
      </text>
    </comment>
    <comment ref="V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t>
        </r>
        <r>
          <rPr>
            <sz val="9"/>
            <color indexed="81"/>
            <rFont val="Tahoma"/>
            <family val="2"/>
          </rPr>
          <t xml:space="preserve">113 </t>
        </r>
        <r>
          <rPr>
            <sz val="9"/>
            <color indexed="81"/>
            <rFont val="宋体"/>
            <family val="3"/>
            <charset val="134"/>
          </rPr>
          <t>团险：</t>
        </r>
        <r>
          <rPr>
            <sz val="9"/>
            <color indexed="81"/>
            <rFont val="Tahoma"/>
            <family val="2"/>
          </rPr>
          <t xml:space="preserve">7 </t>
        </r>
        <r>
          <rPr>
            <sz val="9"/>
            <color indexed="81"/>
            <rFont val="宋体"/>
            <family val="3"/>
            <charset val="134"/>
          </rPr>
          <t>银保：</t>
        </r>
        <r>
          <rPr>
            <sz val="9"/>
            <color indexed="81"/>
            <rFont val="Tahoma"/>
            <family val="2"/>
          </rPr>
          <t xml:space="preserve">6 </t>
        </r>
        <r>
          <rPr>
            <sz val="9"/>
            <color indexed="81"/>
            <rFont val="宋体"/>
            <family val="3"/>
            <charset val="134"/>
          </rPr>
          <t>多元：</t>
        </r>
        <r>
          <rPr>
            <sz val="9"/>
            <color indexed="81"/>
            <rFont val="Tahoma"/>
            <family val="2"/>
          </rPr>
          <t xml:space="preserve">2 </t>
        </r>
        <r>
          <rPr>
            <sz val="9"/>
            <color indexed="81"/>
            <rFont val="宋体"/>
            <family val="3"/>
            <charset val="134"/>
          </rPr>
          <t>续期：</t>
        </r>
        <r>
          <rPr>
            <sz val="9"/>
            <color indexed="81"/>
            <rFont val="Tahoma"/>
            <family val="2"/>
          </rPr>
          <t>3</t>
        </r>
      </text>
    </comment>
    <comment ref="X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个险增加</t>
        </r>
        <r>
          <rPr>
            <sz val="9"/>
            <color indexed="81"/>
            <rFont val="Tahoma"/>
            <family val="2"/>
          </rPr>
          <t>9</t>
        </r>
        <r>
          <rPr>
            <sz val="9"/>
            <color indexed="81"/>
            <rFont val="宋体"/>
            <family val="3"/>
            <charset val="134"/>
          </rPr>
          <t>人，银保增加</t>
        </r>
        <r>
          <rPr>
            <sz val="9"/>
            <color indexed="81"/>
            <rFont val="Tahoma"/>
            <family val="2"/>
          </rPr>
          <t>2</t>
        </r>
        <r>
          <rPr>
            <sz val="9"/>
            <color indexed="81"/>
            <rFont val="宋体"/>
            <family val="3"/>
            <charset val="134"/>
          </rPr>
          <t>人，续期增加</t>
        </r>
        <r>
          <rPr>
            <sz val="9"/>
            <color indexed="81"/>
            <rFont val="Tahoma"/>
            <family val="2"/>
          </rPr>
          <t>1</t>
        </r>
        <r>
          <rPr>
            <sz val="9"/>
            <color indexed="81"/>
            <rFont val="宋体"/>
            <family val="3"/>
            <charset val="134"/>
          </rPr>
          <t>人。</t>
        </r>
      </text>
    </comment>
    <comment ref="AB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个险渠道</t>
        </r>
        <r>
          <rPr>
            <sz val="9"/>
            <color indexed="81"/>
            <rFont val="Tahoma"/>
            <family val="2"/>
          </rPr>
          <t>1071</t>
        </r>
        <r>
          <rPr>
            <sz val="9"/>
            <color indexed="81"/>
            <rFont val="宋体"/>
            <family val="3"/>
            <charset val="134"/>
          </rPr>
          <t>、银保渠道</t>
        </r>
        <r>
          <rPr>
            <sz val="9"/>
            <color indexed="81"/>
            <rFont val="Tahoma"/>
            <family val="2"/>
          </rPr>
          <t>22</t>
        </r>
        <r>
          <rPr>
            <sz val="9"/>
            <color indexed="81"/>
            <rFont val="宋体"/>
            <family val="3"/>
            <charset val="134"/>
          </rPr>
          <t>人、团险渠道</t>
        </r>
        <r>
          <rPr>
            <sz val="9"/>
            <color indexed="81"/>
            <rFont val="Tahoma"/>
            <family val="2"/>
          </rPr>
          <t>16</t>
        </r>
        <r>
          <rPr>
            <sz val="9"/>
            <color indexed="81"/>
            <rFont val="宋体"/>
            <family val="3"/>
            <charset val="134"/>
          </rPr>
          <t>人、保费部</t>
        </r>
        <r>
          <rPr>
            <sz val="9"/>
            <color indexed="81"/>
            <rFont val="Tahoma"/>
            <family val="2"/>
          </rPr>
          <t>6</t>
        </r>
        <r>
          <rPr>
            <sz val="9"/>
            <color indexed="81"/>
            <rFont val="宋体"/>
            <family val="3"/>
            <charset val="134"/>
          </rPr>
          <t>人</t>
        </r>
      </text>
    </comment>
    <comment ref="AH20" authorId="2">
      <text>
        <r>
          <rPr>
            <b/>
            <sz val="9"/>
            <color indexed="81"/>
            <rFont val="宋体"/>
            <family val="3"/>
            <charset val="134"/>
          </rPr>
          <t>徐梦薇</t>
        </r>
        <r>
          <rPr>
            <b/>
            <sz val="9"/>
            <color indexed="81"/>
            <rFont val="Tahoma"/>
            <family val="2"/>
          </rPr>
          <t>:</t>
        </r>
        <r>
          <rPr>
            <sz val="9"/>
            <color indexed="81"/>
            <rFont val="Tahoma"/>
            <family val="2"/>
          </rPr>
          <t xml:space="preserve">
ID1341</t>
        </r>
        <r>
          <rPr>
            <sz val="9"/>
            <color indexed="81"/>
            <rFont val="宋体"/>
            <family val="3"/>
            <charset val="134"/>
          </rPr>
          <t>、</t>
        </r>
        <r>
          <rPr>
            <sz val="9"/>
            <color indexed="81"/>
            <rFont val="Tahoma"/>
            <family val="2"/>
          </rPr>
          <t>AD 7</t>
        </r>
        <r>
          <rPr>
            <sz val="9"/>
            <color indexed="81"/>
            <rFont val="宋体"/>
            <family val="3"/>
            <charset val="134"/>
          </rPr>
          <t>、</t>
        </r>
        <r>
          <rPr>
            <sz val="9"/>
            <color indexed="81"/>
            <rFont val="Tahoma"/>
            <family val="2"/>
          </rPr>
          <t>RP 15</t>
        </r>
      </text>
    </comment>
    <comment ref="AN20"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个险</t>
        </r>
        <r>
          <rPr>
            <sz val="9"/>
            <color indexed="81"/>
            <rFont val="Tahoma"/>
            <family val="2"/>
          </rPr>
          <t>270</t>
        </r>
        <r>
          <rPr>
            <sz val="9"/>
            <color indexed="81"/>
            <rFont val="宋体"/>
            <family val="3"/>
            <charset val="134"/>
          </rPr>
          <t>，银保</t>
        </r>
        <r>
          <rPr>
            <sz val="9"/>
            <color indexed="81"/>
            <rFont val="Tahoma"/>
            <family val="2"/>
          </rPr>
          <t>18</t>
        </r>
        <r>
          <rPr>
            <sz val="9"/>
            <color indexed="81"/>
            <rFont val="宋体"/>
            <family val="3"/>
            <charset val="134"/>
          </rPr>
          <t>人，续期收费专员</t>
        </r>
        <r>
          <rPr>
            <sz val="9"/>
            <color indexed="81"/>
            <rFont val="Tahoma"/>
            <family val="2"/>
          </rPr>
          <t>3</t>
        </r>
        <r>
          <rPr>
            <sz val="9"/>
            <color indexed="81"/>
            <rFont val="宋体"/>
            <family val="3"/>
            <charset val="134"/>
          </rPr>
          <t>人</t>
        </r>
      </text>
    </comment>
    <comment ref="AR20" authorId="1">
      <text>
        <r>
          <rPr>
            <b/>
            <sz val="9"/>
            <color indexed="81"/>
            <rFont val="宋体"/>
            <family val="3"/>
            <charset val="134"/>
          </rPr>
          <t>个险：</t>
        </r>
        <r>
          <rPr>
            <b/>
            <sz val="9"/>
            <color indexed="81"/>
            <rFont val="Tahoma"/>
            <family val="2"/>
          </rPr>
          <t>955</t>
        </r>
        <r>
          <rPr>
            <b/>
            <sz val="9"/>
            <color indexed="81"/>
            <rFont val="宋体"/>
            <family val="3"/>
            <charset val="134"/>
          </rPr>
          <t>（</t>
        </r>
        <r>
          <rPr>
            <b/>
            <sz val="9"/>
            <color indexed="81"/>
            <rFont val="Tahoma"/>
            <family val="2"/>
          </rPr>
          <t>2018</t>
        </r>
        <r>
          <rPr>
            <b/>
            <sz val="9"/>
            <color indexed="81"/>
            <rFont val="宋体"/>
            <family val="3"/>
            <charset val="134"/>
          </rPr>
          <t>年</t>
        </r>
        <r>
          <rPr>
            <b/>
            <sz val="9"/>
            <color indexed="81"/>
            <rFont val="Tahoma"/>
            <family val="2"/>
          </rPr>
          <t>3</t>
        </r>
        <r>
          <rPr>
            <b/>
            <sz val="9"/>
            <color indexed="81"/>
            <rFont val="宋体"/>
            <family val="3"/>
            <charset val="134"/>
          </rPr>
          <t>月</t>
        </r>
        <r>
          <rPr>
            <b/>
            <sz val="9"/>
            <color indexed="81"/>
            <rFont val="Tahoma"/>
            <family val="2"/>
          </rPr>
          <t>31</t>
        </r>
        <r>
          <rPr>
            <b/>
            <sz val="9"/>
            <color indexed="81"/>
            <rFont val="宋体"/>
            <family val="3"/>
            <charset val="134"/>
          </rPr>
          <t>日总公司日报表）
银保：</t>
        </r>
        <r>
          <rPr>
            <b/>
            <sz val="9"/>
            <color indexed="81"/>
            <rFont val="Tahoma"/>
            <family val="2"/>
          </rPr>
          <t xml:space="preserve">8
</t>
        </r>
        <r>
          <rPr>
            <b/>
            <sz val="9"/>
            <color indexed="81"/>
            <rFont val="宋体"/>
            <family val="3"/>
            <charset val="134"/>
          </rPr>
          <t>团险：</t>
        </r>
        <r>
          <rPr>
            <b/>
            <sz val="9"/>
            <color indexed="81"/>
            <rFont val="Tahoma"/>
            <family val="2"/>
          </rPr>
          <t>8</t>
        </r>
        <r>
          <rPr>
            <b/>
            <sz val="9"/>
            <color indexed="81"/>
            <rFont val="宋体"/>
            <family val="3"/>
            <charset val="134"/>
          </rPr>
          <t>（截至</t>
        </r>
        <r>
          <rPr>
            <b/>
            <sz val="9"/>
            <color indexed="81"/>
            <rFont val="Tahoma"/>
            <family val="2"/>
          </rPr>
          <t>20180331</t>
        </r>
        <r>
          <rPr>
            <b/>
            <sz val="9"/>
            <color indexed="81"/>
            <rFont val="宋体"/>
            <family val="3"/>
            <charset val="134"/>
          </rPr>
          <t>有效劳动合同数）
多元：</t>
        </r>
        <r>
          <rPr>
            <b/>
            <sz val="9"/>
            <color indexed="81"/>
            <rFont val="Tahoma"/>
            <family val="2"/>
          </rPr>
          <t xml:space="preserve">2
</t>
        </r>
        <r>
          <rPr>
            <b/>
            <sz val="9"/>
            <color indexed="81"/>
            <rFont val="宋体"/>
            <family val="3"/>
            <charset val="134"/>
          </rPr>
          <t>保费：</t>
        </r>
        <r>
          <rPr>
            <b/>
            <sz val="9"/>
            <color indexed="81"/>
            <rFont val="Tahoma"/>
            <family val="2"/>
          </rPr>
          <t>11</t>
        </r>
      </text>
    </comment>
    <comment ref="AT20"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个险</t>
        </r>
        <r>
          <rPr>
            <sz val="9"/>
            <color indexed="81"/>
            <rFont val="Tahoma"/>
            <family val="2"/>
          </rPr>
          <t xml:space="preserve">874 </t>
        </r>
        <r>
          <rPr>
            <sz val="9"/>
            <color indexed="81"/>
            <rFont val="宋体"/>
            <family val="3"/>
            <charset val="134"/>
          </rPr>
          <t>团险</t>
        </r>
        <r>
          <rPr>
            <sz val="9"/>
            <color indexed="81"/>
            <rFont val="Tahoma"/>
            <family val="2"/>
          </rPr>
          <t xml:space="preserve">9 </t>
        </r>
        <r>
          <rPr>
            <sz val="9"/>
            <color indexed="81"/>
            <rFont val="宋体"/>
            <family val="3"/>
            <charset val="134"/>
          </rPr>
          <t>银保</t>
        </r>
        <r>
          <rPr>
            <sz val="9"/>
            <color indexed="81"/>
            <rFont val="Tahoma"/>
            <family val="2"/>
          </rPr>
          <t xml:space="preserve">9 </t>
        </r>
        <r>
          <rPr>
            <sz val="9"/>
            <color indexed="81"/>
            <rFont val="宋体"/>
            <family val="3"/>
            <charset val="134"/>
          </rPr>
          <t>多元</t>
        </r>
        <r>
          <rPr>
            <sz val="9"/>
            <color indexed="81"/>
            <rFont val="Tahoma"/>
            <family val="2"/>
          </rPr>
          <t xml:space="preserve">3 </t>
        </r>
        <r>
          <rPr>
            <sz val="9"/>
            <color indexed="81"/>
            <rFont val="宋体"/>
            <family val="3"/>
            <charset val="134"/>
          </rPr>
          <t>续期</t>
        </r>
        <r>
          <rPr>
            <sz val="9"/>
            <color indexed="81"/>
            <rFont val="Tahoma"/>
            <family val="2"/>
          </rPr>
          <t xml:space="preserve">10 </t>
        </r>
      </text>
    </comment>
    <comment ref="AX20" authorId="1">
      <text>
        <r>
          <rPr>
            <b/>
            <sz val="9"/>
            <color indexed="81"/>
            <rFont val="宋体"/>
            <family val="2"/>
            <charset val="134"/>
          </rPr>
          <t>劳动合同：</t>
        </r>
        <r>
          <rPr>
            <b/>
            <sz val="9"/>
            <color indexed="81"/>
            <rFont val="Tahoma"/>
            <family val="2"/>
          </rPr>
          <t>91</t>
        </r>
        <r>
          <rPr>
            <b/>
            <sz val="9"/>
            <color indexed="81"/>
            <rFont val="宋体"/>
            <family val="2"/>
            <charset val="134"/>
          </rPr>
          <t>，代理合同：</t>
        </r>
        <r>
          <rPr>
            <b/>
            <sz val="9"/>
            <color indexed="81"/>
            <rFont val="Tahoma"/>
            <family val="2"/>
          </rPr>
          <t>990</t>
        </r>
      </text>
    </comment>
    <comment ref="AZ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t>
        </r>
        <r>
          <rPr>
            <sz val="9"/>
            <color indexed="81"/>
            <rFont val="Tahoma"/>
            <family val="2"/>
          </rPr>
          <t xml:space="preserve">943
</t>
        </r>
        <r>
          <rPr>
            <sz val="9"/>
            <color indexed="81"/>
            <rFont val="宋体"/>
            <family val="3"/>
            <charset val="134"/>
          </rPr>
          <t>团险</t>
        </r>
        <r>
          <rPr>
            <sz val="9"/>
            <color indexed="81"/>
            <rFont val="Tahoma"/>
            <family val="2"/>
          </rPr>
          <t xml:space="preserve">15
</t>
        </r>
        <r>
          <rPr>
            <sz val="9"/>
            <color indexed="81"/>
            <rFont val="宋体"/>
            <family val="3"/>
            <charset val="134"/>
          </rPr>
          <t>银保</t>
        </r>
        <r>
          <rPr>
            <sz val="9"/>
            <color indexed="81"/>
            <rFont val="Tahoma"/>
            <family val="2"/>
          </rPr>
          <t xml:space="preserve">25
</t>
        </r>
        <r>
          <rPr>
            <sz val="9"/>
            <color indexed="81"/>
            <rFont val="宋体"/>
            <family val="3"/>
            <charset val="134"/>
          </rPr>
          <t>多元</t>
        </r>
        <r>
          <rPr>
            <sz val="9"/>
            <color indexed="81"/>
            <rFont val="Tahoma"/>
            <family val="2"/>
          </rPr>
          <t xml:space="preserve">7
</t>
        </r>
        <r>
          <rPr>
            <sz val="9"/>
            <color indexed="81"/>
            <rFont val="宋体"/>
            <family val="3"/>
            <charset val="134"/>
          </rPr>
          <t>续期</t>
        </r>
        <r>
          <rPr>
            <sz val="9"/>
            <color indexed="81"/>
            <rFont val="Tahoma"/>
            <family val="2"/>
          </rPr>
          <t xml:space="preserve">14
</t>
        </r>
      </text>
    </comment>
    <comment ref="BD20" authorId="1">
      <text>
        <r>
          <rPr>
            <b/>
            <sz val="9"/>
            <color indexed="81"/>
            <rFont val="宋体"/>
            <family val="2"/>
            <charset val="134"/>
          </rPr>
          <t>个险</t>
        </r>
        <r>
          <rPr>
            <b/>
            <sz val="9"/>
            <color indexed="81"/>
            <rFont val="Tahoma"/>
            <family val="2"/>
          </rPr>
          <t>1</t>
        </r>
        <r>
          <rPr>
            <b/>
            <sz val="9"/>
            <color indexed="81"/>
            <rFont val="宋体"/>
            <family val="2"/>
            <charset val="134"/>
          </rPr>
          <t>人签劳动合同，其他</t>
        </r>
        <r>
          <rPr>
            <b/>
            <sz val="9"/>
            <color indexed="81"/>
            <rFont val="Tahoma"/>
            <family val="2"/>
          </rPr>
          <t>330</t>
        </r>
        <r>
          <rPr>
            <b/>
            <sz val="9"/>
            <color indexed="81"/>
            <rFont val="宋体"/>
            <family val="2"/>
            <charset val="134"/>
          </rPr>
          <t>人签代理合同
团险：陈蕾、管红彬、张颖玉
续期：丁梅、殷萍、柏岩松、孙磊、黄斐</t>
        </r>
      </text>
    </comment>
    <comment ref="BF20"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个险</t>
        </r>
        <r>
          <rPr>
            <sz val="9"/>
            <color indexed="81"/>
            <rFont val="Tahoma"/>
            <family val="2"/>
          </rPr>
          <t xml:space="preserve">237 </t>
        </r>
        <r>
          <rPr>
            <sz val="9"/>
            <color indexed="81"/>
            <rFont val="宋体"/>
            <family val="3"/>
            <charset val="134"/>
          </rPr>
          <t>，其中两人是劳动合同</t>
        </r>
        <r>
          <rPr>
            <sz val="9"/>
            <color indexed="81"/>
            <rFont val="Tahoma"/>
            <family val="2"/>
          </rPr>
          <t xml:space="preserve"> </t>
        </r>
        <r>
          <rPr>
            <sz val="9"/>
            <color indexed="81"/>
            <rFont val="宋体"/>
            <family val="3"/>
            <charset val="134"/>
          </rPr>
          <t>团险</t>
        </r>
        <r>
          <rPr>
            <sz val="9"/>
            <color indexed="81"/>
            <rFont val="Tahoma"/>
            <family val="2"/>
          </rPr>
          <t xml:space="preserve">4 </t>
        </r>
        <r>
          <rPr>
            <sz val="9"/>
            <color indexed="81"/>
            <rFont val="宋体"/>
            <family val="3"/>
            <charset val="134"/>
          </rPr>
          <t>续期</t>
        </r>
        <r>
          <rPr>
            <sz val="9"/>
            <color indexed="81"/>
            <rFont val="Tahoma"/>
            <family val="2"/>
          </rPr>
          <t>4</t>
        </r>
      </text>
    </comment>
    <comment ref="BL20"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签订的劳动合同、代理合同
个险：</t>
        </r>
        <r>
          <rPr>
            <sz val="9"/>
            <color indexed="81"/>
            <rFont val="Tahoma"/>
            <family val="2"/>
          </rPr>
          <t xml:space="preserve">1204 </t>
        </r>
        <r>
          <rPr>
            <sz val="9"/>
            <color indexed="81"/>
            <rFont val="宋体"/>
            <family val="3"/>
            <charset val="134"/>
          </rPr>
          <t>多元</t>
        </r>
        <r>
          <rPr>
            <sz val="9"/>
            <color indexed="81"/>
            <rFont val="Tahoma"/>
            <family val="2"/>
          </rPr>
          <t xml:space="preserve"> 2 </t>
        </r>
        <r>
          <rPr>
            <sz val="9"/>
            <color indexed="81"/>
            <rFont val="宋体"/>
            <family val="3"/>
            <charset val="134"/>
          </rPr>
          <t>银保</t>
        </r>
        <r>
          <rPr>
            <sz val="9"/>
            <color indexed="81"/>
            <rFont val="Tahoma"/>
            <family val="2"/>
          </rPr>
          <t xml:space="preserve"> 52 </t>
        </r>
        <r>
          <rPr>
            <sz val="9"/>
            <color indexed="81"/>
            <rFont val="宋体"/>
            <family val="3"/>
            <charset val="134"/>
          </rPr>
          <t>续保</t>
        </r>
        <r>
          <rPr>
            <sz val="9"/>
            <color indexed="81"/>
            <rFont val="Tahoma"/>
            <family val="2"/>
          </rPr>
          <t xml:space="preserve"> 6 </t>
        </r>
        <r>
          <rPr>
            <sz val="9"/>
            <color indexed="81"/>
            <rFont val="宋体"/>
            <family val="3"/>
            <charset val="134"/>
          </rPr>
          <t>团险</t>
        </r>
        <r>
          <rPr>
            <sz val="9"/>
            <color indexed="81"/>
            <rFont val="Tahoma"/>
            <family val="2"/>
          </rPr>
          <t xml:space="preserve"> 3
</t>
        </r>
      </text>
    </comment>
    <comment ref="BR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t>
        </r>
        <r>
          <rPr>
            <sz val="9"/>
            <color indexed="81"/>
            <rFont val="Tahoma"/>
            <family val="2"/>
          </rPr>
          <t xml:space="preserve">325 </t>
        </r>
        <r>
          <rPr>
            <sz val="9"/>
            <color indexed="81"/>
            <rFont val="宋体"/>
            <family val="3"/>
            <charset val="134"/>
          </rPr>
          <t>银保</t>
        </r>
        <r>
          <rPr>
            <sz val="9"/>
            <color indexed="81"/>
            <rFont val="Tahoma"/>
            <family val="2"/>
          </rPr>
          <t xml:space="preserve"> 1 </t>
        </r>
        <r>
          <rPr>
            <sz val="9"/>
            <color indexed="81"/>
            <rFont val="宋体"/>
            <family val="3"/>
            <charset val="134"/>
          </rPr>
          <t>续期</t>
        </r>
        <r>
          <rPr>
            <sz val="9"/>
            <color indexed="81"/>
            <rFont val="Tahoma"/>
            <family val="2"/>
          </rPr>
          <t xml:space="preserve">2
</t>
        </r>
      </text>
    </comment>
    <comment ref="BT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考核脱落</t>
        </r>
      </text>
    </comment>
    <comment ref="BV20" authorId="1">
      <text>
        <r>
          <rPr>
            <b/>
            <sz val="9"/>
            <color indexed="81"/>
            <rFont val="宋体"/>
            <family val="3"/>
            <charset val="134"/>
          </rPr>
          <t>签订代理合同</t>
        </r>
        <r>
          <rPr>
            <b/>
            <sz val="9"/>
            <color indexed="81"/>
            <rFont val="Tahoma"/>
            <family val="2"/>
          </rPr>
          <t>462</t>
        </r>
        <r>
          <rPr>
            <b/>
            <sz val="9"/>
            <color indexed="81"/>
            <rFont val="宋体"/>
            <family val="3"/>
            <charset val="134"/>
          </rPr>
          <t>份，劳动合同</t>
        </r>
        <r>
          <rPr>
            <b/>
            <sz val="9"/>
            <color indexed="81"/>
            <rFont val="Tahoma"/>
            <family val="2"/>
          </rPr>
          <t>18</t>
        </r>
        <r>
          <rPr>
            <b/>
            <sz val="9"/>
            <color indexed="81"/>
            <rFont val="宋体"/>
            <family val="3"/>
            <charset val="134"/>
          </rPr>
          <t>份。个险：</t>
        </r>
        <r>
          <rPr>
            <b/>
            <sz val="9"/>
            <color indexed="81"/>
            <rFont val="Tahoma"/>
            <family val="2"/>
          </rPr>
          <t xml:space="preserve"> </t>
        </r>
        <r>
          <rPr>
            <b/>
            <sz val="9"/>
            <color indexed="81"/>
            <rFont val="宋体"/>
            <family val="3"/>
            <charset val="134"/>
          </rPr>
          <t>团险：多元：银保：续期：</t>
        </r>
      </text>
    </comment>
    <comment ref="BX20" authorId="1">
      <text>
        <r>
          <rPr>
            <b/>
            <sz val="9"/>
            <color indexed="81"/>
            <rFont val="宋体"/>
            <family val="3"/>
            <charset val="134"/>
          </rPr>
          <t>个险：543
团险：4
银保：7
多元：2
续期：5</t>
        </r>
      </text>
    </comment>
    <comment ref="V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同上</t>
        </r>
      </text>
    </comment>
    <comment ref="AB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个险渠道</t>
        </r>
        <r>
          <rPr>
            <sz val="9"/>
            <color indexed="81"/>
            <rFont val="Tahoma"/>
            <family val="2"/>
          </rPr>
          <t>1071</t>
        </r>
        <r>
          <rPr>
            <sz val="9"/>
            <color indexed="81"/>
            <rFont val="宋体"/>
            <family val="3"/>
            <charset val="134"/>
          </rPr>
          <t>、银保渠道</t>
        </r>
        <r>
          <rPr>
            <sz val="9"/>
            <color indexed="81"/>
            <rFont val="Tahoma"/>
            <family val="2"/>
          </rPr>
          <t>22</t>
        </r>
        <r>
          <rPr>
            <sz val="9"/>
            <color indexed="81"/>
            <rFont val="宋体"/>
            <family val="3"/>
            <charset val="134"/>
          </rPr>
          <t>人、团险渠道</t>
        </r>
        <r>
          <rPr>
            <sz val="9"/>
            <color indexed="81"/>
            <rFont val="Tahoma"/>
            <family val="2"/>
          </rPr>
          <t>16</t>
        </r>
        <r>
          <rPr>
            <sz val="9"/>
            <color indexed="81"/>
            <rFont val="宋体"/>
            <family val="3"/>
            <charset val="134"/>
          </rPr>
          <t>人、保费部</t>
        </r>
        <r>
          <rPr>
            <sz val="9"/>
            <color indexed="81"/>
            <rFont val="Tahoma"/>
            <family val="2"/>
          </rPr>
          <t>6</t>
        </r>
        <r>
          <rPr>
            <sz val="9"/>
            <color indexed="81"/>
            <rFont val="宋体"/>
            <family val="3"/>
            <charset val="134"/>
          </rPr>
          <t>人</t>
        </r>
      </text>
    </comment>
    <comment ref="AH21" authorId="2">
      <text>
        <r>
          <rPr>
            <b/>
            <sz val="9"/>
            <color indexed="81"/>
            <rFont val="宋体"/>
            <family val="3"/>
            <charset val="134"/>
          </rPr>
          <t>徐梦薇</t>
        </r>
        <r>
          <rPr>
            <b/>
            <sz val="9"/>
            <color indexed="81"/>
            <rFont val="Tahoma"/>
            <family val="2"/>
          </rPr>
          <t>:</t>
        </r>
        <r>
          <rPr>
            <sz val="9"/>
            <color indexed="81"/>
            <rFont val="Tahoma"/>
            <family val="2"/>
          </rPr>
          <t xml:space="preserve">
ID1341</t>
        </r>
        <r>
          <rPr>
            <sz val="9"/>
            <color indexed="81"/>
            <rFont val="宋体"/>
            <family val="3"/>
            <charset val="134"/>
          </rPr>
          <t>、</t>
        </r>
        <r>
          <rPr>
            <sz val="9"/>
            <color indexed="81"/>
            <rFont val="Tahoma"/>
            <family val="2"/>
          </rPr>
          <t>AD 7</t>
        </r>
        <r>
          <rPr>
            <sz val="9"/>
            <color indexed="81"/>
            <rFont val="宋体"/>
            <family val="3"/>
            <charset val="134"/>
          </rPr>
          <t>、</t>
        </r>
        <r>
          <rPr>
            <sz val="9"/>
            <color indexed="81"/>
            <rFont val="Tahoma"/>
            <family val="2"/>
          </rPr>
          <t>RP 15</t>
        </r>
      </text>
    </comment>
    <comment ref="AN21"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个险</t>
        </r>
        <r>
          <rPr>
            <sz val="9"/>
            <color indexed="81"/>
            <rFont val="Tahoma"/>
            <family val="2"/>
          </rPr>
          <t>270</t>
        </r>
        <r>
          <rPr>
            <sz val="9"/>
            <color indexed="81"/>
            <rFont val="宋体"/>
            <family val="3"/>
            <charset val="134"/>
          </rPr>
          <t>，银保</t>
        </r>
        <r>
          <rPr>
            <sz val="9"/>
            <color indexed="81"/>
            <rFont val="Tahoma"/>
            <family val="2"/>
          </rPr>
          <t>18</t>
        </r>
        <r>
          <rPr>
            <sz val="9"/>
            <color indexed="81"/>
            <rFont val="宋体"/>
            <family val="3"/>
            <charset val="134"/>
          </rPr>
          <t>人，续期收费专员</t>
        </r>
        <r>
          <rPr>
            <sz val="9"/>
            <color indexed="81"/>
            <rFont val="Tahoma"/>
            <family val="2"/>
          </rPr>
          <t>3</t>
        </r>
        <r>
          <rPr>
            <sz val="9"/>
            <color indexed="81"/>
            <rFont val="宋体"/>
            <family val="3"/>
            <charset val="134"/>
          </rPr>
          <t>人</t>
        </r>
      </text>
    </comment>
    <comment ref="AR21" authorId="1">
      <text>
        <r>
          <rPr>
            <b/>
            <sz val="9"/>
            <color indexed="81"/>
            <rFont val="宋体"/>
            <family val="3"/>
            <charset val="134"/>
          </rPr>
          <t>同上</t>
        </r>
      </text>
    </comment>
    <comment ref="AT21"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AX21" authorId="1">
      <text>
        <r>
          <rPr>
            <sz val="9"/>
            <color indexed="81"/>
            <rFont val="宋体"/>
            <family val="3"/>
            <charset val="134"/>
          </rPr>
          <t>同上</t>
        </r>
        <r>
          <rPr>
            <sz val="9"/>
            <color indexed="81"/>
            <rFont val="Tahoma"/>
            <family val="2"/>
          </rPr>
          <t xml:space="preserve">
</t>
        </r>
      </text>
    </comment>
    <comment ref="AZ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同上</t>
        </r>
      </text>
    </comment>
    <comment ref="BF21"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同上</t>
        </r>
      </text>
    </comment>
    <comment ref="BL21" authorId="2">
      <text>
        <r>
          <rPr>
            <b/>
            <sz val="9"/>
            <color indexed="81"/>
            <rFont val="宋体"/>
            <family val="3"/>
            <charset val="134"/>
          </rPr>
          <t>徐梦薇：
同上</t>
        </r>
      </text>
    </comment>
    <comment ref="BR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同上
</t>
        </r>
      </text>
    </comment>
    <comment ref="BT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考核脱落</t>
        </r>
      </text>
    </comment>
    <comment ref="BV21" authorId="1">
      <text>
        <r>
          <rPr>
            <b/>
            <sz val="9"/>
            <color indexed="81"/>
            <rFont val="宋体"/>
            <family val="2"/>
            <charset val="134"/>
          </rPr>
          <t>代理制销售人员</t>
        </r>
        <r>
          <rPr>
            <b/>
            <sz val="9"/>
            <color indexed="81"/>
            <rFont val="Tahoma"/>
            <family val="2"/>
          </rPr>
          <t>462</t>
        </r>
        <r>
          <rPr>
            <b/>
            <sz val="9"/>
            <color indexed="81"/>
            <rFont val="宋体"/>
            <family val="2"/>
            <charset val="134"/>
          </rPr>
          <t>人，合同制销售人员</t>
        </r>
        <r>
          <rPr>
            <b/>
            <sz val="9"/>
            <color indexed="81"/>
            <rFont val="Tahoma"/>
            <family val="2"/>
          </rPr>
          <t>18</t>
        </r>
        <r>
          <rPr>
            <b/>
            <sz val="9"/>
            <color indexed="81"/>
            <rFont val="宋体"/>
            <family val="2"/>
            <charset val="134"/>
          </rPr>
          <t>人。</t>
        </r>
      </text>
    </comment>
    <comment ref="BX21" authorId="1">
      <text>
        <r>
          <rPr>
            <b/>
            <sz val="9"/>
            <color indexed="81"/>
            <rFont val="宋体"/>
            <family val="2"/>
            <charset val="134"/>
          </rPr>
          <t xml:space="preserve">同上
</t>
        </r>
      </text>
    </comment>
    <comment ref="V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投诉量降低</t>
        </r>
      </text>
    </comment>
    <comment ref="X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投诉量降低</t>
        </r>
      </text>
    </comment>
    <comment ref="AN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本期无投诉记录</t>
        </r>
      </text>
    </comment>
    <comment ref="AP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本期无投诉记录</t>
        </r>
      </text>
    </comment>
    <comment ref="AZ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领</t>
        </r>
        <r>
          <rPr>
            <sz val="9"/>
            <color indexed="81"/>
            <rFont val="Tahoma"/>
            <family val="2"/>
          </rPr>
          <t>B</t>
        </r>
        <r>
          <rPr>
            <sz val="9"/>
            <color indexed="81"/>
            <rFont val="宋体"/>
            <family val="3"/>
            <charset val="134"/>
          </rPr>
          <t>、领</t>
        </r>
        <r>
          <rPr>
            <sz val="9"/>
            <color indexed="81"/>
            <rFont val="Tahoma"/>
            <family val="2"/>
          </rPr>
          <t>D</t>
        </r>
        <r>
          <rPr>
            <sz val="9"/>
            <color indexed="81"/>
            <rFont val="宋体"/>
            <family val="3"/>
            <charset val="134"/>
          </rPr>
          <t>满期</t>
        </r>
      </text>
    </comment>
    <comment ref="BB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领</t>
        </r>
        <r>
          <rPr>
            <sz val="9"/>
            <color indexed="81"/>
            <rFont val="Tahoma"/>
            <family val="2"/>
          </rPr>
          <t>B</t>
        </r>
        <r>
          <rPr>
            <sz val="9"/>
            <color indexed="81"/>
            <rFont val="宋体"/>
            <family val="3"/>
            <charset val="134"/>
          </rPr>
          <t>、领</t>
        </r>
        <r>
          <rPr>
            <sz val="9"/>
            <color indexed="81"/>
            <rFont val="Tahoma"/>
            <family val="2"/>
          </rPr>
          <t>D</t>
        </r>
        <r>
          <rPr>
            <sz val="9"/>
            <color indexed="81"/>
            <rFont val="宋体"/>
            <family val="3"/>
            <charset val="134"/>
          </rPr>
          <t>满期</t>
        </r>
      </text>
    </comment>
    <comment ref="BF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领</t>
        </r>
        <r>
          <rPr>
            <sz val="9"/>
            <color indexed="81"/>
            <rFont val="Tahoma"/>
            <family val="2"/>
          </rPr>
          <t>B</t>
        </r>
        <r>
          <rPr>
            <sz val="9"/>
            <color indexed="81"/>
            <rFont val="宋体"/>
            <family val="3"/>
            <charset val="134"/>
          </rPr>
          <t>满期</t>
        </r>
      </text>
    </comment>
    <comment ref="BH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领</t>
        </r>
        <r>
          <rPr>
            <sz val="9"/>
            <color indexed="81"/>
            <rFont val="Tahoma"/>
            <family val="2"/>
          </rPr>
          <t>B</t>
        </r>
        <r>
          <rPr>
            <sz val="9"/>
            <color indexed="81"/>
            <rFont val="宋体"/>
            <family val="3"/>
            <charset val="134"/>
          </rPr>
          <t>满期</t>
        </r>
      </text>
    </comment>
    <comment ref="BR23" authorId="0">
      <text>
        <r>
          <rPr>
            <b/>
            <sz val="9"/>
            <color indexed="81"/>
            <rFont val="宋体"/>
            <family val="3"/>
            <charset val="134"/>
          </rPr>
          <t>徐梦薇</t>
        </r>
        <r>
          <rPr>
            <b/>
            <sz val="9"/>
            <color indexed="81"/>
            <rFont val="Tahoma"/>
            <family val="2"/>
          </rPr>
          <t>/Mengwei Xu:</t>
        </r>
        <r>
          <rPr>
            <sz val="9"/>
            <color indexed="81"/>
            <rFont val="Tahoma"/>
            <family val="2"/>
          </rPr>
          <t xml:space="preserve">
Q1</t>
        </r>
        <r>
          <rPr>
            <sz val="9"/>
            <color indexed="81"/>
            <rFont val="宋体"/>
            <family val="3"/>
            <charset val="134"/>
          </rPr>
          <t>未发生投诉</t>
        </r>
      </text>
    </comment>
    <comment ref="BT23" authorId="0">
      <text>
        <r>
          <rPr>
            <b/>
            <sz val="9"/>
            <color indexed="81"/>
            <rFont val="宋体"/>
            <family val="3"/>
            <charset val="134"/>
          </rPr>
          <t>徐梦薇</t>
        </r>
        <r>
          <rPr>
            <b/>
            <sz val="9"/>
            <color indexed="81"/>
            <rFont val="Tahoma"/>
            <family val="2"/>
          </rPr>
          <t>/Mengwei Xu:</t>
        </r>
        <r>
          <rPr>
            <sz val="9"/>
            <color indexed="81"/>
            <rFont val="Tahoma"/>
            <family val="2"/>
          </rPr>
          <t xml:space="preserve">
Q1</t>
        </r>
        <r>
          <rPr>
            <sz val="9"/>
            <color indexed="81"/>
            <rFont val="宋体"/>
            <family val="3"/>
            <charset val="134"/>
          </rPr>
          <t>未发生投诉</t>
        </r>
      </text>
    </comment>
    <comment ref="BX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投诉量降低</t>
        </r>
      </text>
    </comment>
    <comment ref="BZ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投诉量降低</t>
        </r>
      </text>
    </comment>
    <comment ref="T28" authorId="1">
      <text>
        <r>
          <rPr>
            <b/>
            <sz val="9"/>
            <color indexed="81"/>
            <rFont val="宋体"/>
            <family val="3"/>
            <charset val="134"/>
          </rPr>
          <t>在治乱打非排查中发现有在微信销售群中发布不准确的产品宣传信息的问题。</t>
        </r>
      </text>
    </comment>
    <comment ref="V28" authorId="0">
      <text>
        <r>
          <rPr>
            <b/>
            <sz val="9"/>
            <color indexed="81"/>
            <rFont val="宋体"/>
            <family val="3"/>
            <charset val="134"/>
          </rPr>
          <t>徐梦薇</t>
        </r>
        <r>
          <rPr>
            <b/>
            <sz val="9"/>
            <color indexed="81"/>
            <rFont val="Tahoma"/>
            <family val="2"/>
          </rPr>
          <t>/Mengwei Xu:</t>
        </r>
        <r>
          <rPr>
            <sz val="9"/>
            <color indexed="81"/>
            <rFont val="Tahoma"/>
            <family val="2"/>
          </rPr>
          <t xml:space="preserve">
2018</t>
        </r>
        <r>
          <rPr>
            <sz val="9"/>
            <color indexed="81"/>
            <rFont val="宋体"/>
            <family val="3"/>
            <charset val="134"/>
          </rPr>
          <t>年</t>
        </r>
        <r>
          <rPr>
            <sz val="9"/>
            <color indexed="81"/>
            <rFont val="Tahoma"/>
            <family val="2"/>
          </rPr>
          <t>1</t>
        </r>
        <r>
          <rPr>
            <sz val="9"/>
            <color indexed="81"/>
            <rFont val="宋体"/>
            <family val="3"/>
            <charset val="134"/>
          </rPr>
          <t>季度在治乱打非排查中发现有在微信销售群中发布不准确的产品宣传信息的问题。</t>
        </r>
      </text>
    </comment>
    <comment ref="Z28" authorId="3">
      <text>
        <r>
          <rPr>
            <sz val="9"/>
            <color indexed="81"/>
            <rFont val="宋体"/>
            <family val="3"/>
            <charset val="134"/>
          </rPr>
          <t>2018年3月报送的治乱打非报告：1、销售误导问题，如个别销售人员微信朋友圈出现“停售”等违规销售宣传、部分银邮代理网点存在隐瞒风险、夸大或承诺收益问题、个别保险销售人员承诺保障收益；2、部分销售人员未充分说明并深入了解客户既往病史（客户未履行如实告知义务）；3、 销售人员未尽职致使保单出现代签情况（带签名或代抄风险提示语句）。</t>
        </r>
      </text>
    </comment>
    <comment ref="AB28" authorId="3">
      <text>
        <r>
          <rPr>
            <sz val="9"/>
            <color indexed="81"/>
            <rFont val="宋体"/>
            <family val="3"/>
            <charset val="134"/>
          </rPr>
          <t>2018年3月报送的治乱打非报告：1、销售误导问题，如个别销售人员微信朋友圈出现“停售”等违规销售宣传、部分银邮代理网点存在隐瞒风险、夸大或承诺收益问题、个别保险销售人员承诺保障收益；2、部分销售人员未充分说明并深入了解客户既往病史（客户未履行如实告知义务）；3、 销售人员未尽职致使保单出现代签情况（带签名或代抄风险提示语句）。</t>
        </r>
      </text>
    </comment>
    <comment ref="AF28" authorId="3">
      <text>
        <r>
          <rPr>
            <sz val="9"/>
            <color indexed="81"/>
            <rFont val="宋体"/>
            <family val="3"/>
            <charset val="134"/>
          </rPr>
          <t>1.内审检查发现部分机构销售人员展业资料，发现存在私自打印带有公司产品宣传内容的纸张，其中对产品的保险责任介绍并无夸大或隐瞒，但其中涉及的利益演示，只有中档红利演示，并无高中低三档演示，也没有明确说明“该利益演示基于公司的精算及其他假设，不代表公司的历史经营业绩，也不代表对公司未来经营业绩的预期，保单的红利分配是不确定的。”
2.分公司自查发现部分机构销售人员私自打印带有公司产品宣传内容的纸张；公司在对营销员微信群和朋友圈监控中发现丹东中心支公司业务员在朋友圈传播一份伪造的公司核保规则类的通知文件。</t>
        </r>
      </text>
    </comment>
    <comment ref="AH2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公司在对营销员微信群和朋友圈监控中发现丹东中心支公司业务员在朋友圈传播一份伪造的公司核保规则类的通知文件。</t>
        </r>
        <r>
          <rPr>
            <sz val="9"/>
            <color indexed="81"/>
            <rFont val="Tahoma"/>
            <family val="2"/>
          </rPr>
          <t xml:space="preserve">18Q1
</t>
        </r>
        <r>
          <rPr>
            <sz val="9"/>
            <color indexed="81"/>
            <rFont val="宋体"/>
            <family val="3"/>
            <charset val="134"/>
          </rPr>
          <t>距离《恒安标准辽分司字</t>
        </r>
        <r>
          <rPr>
            <sz val="9"/>
            <color indexed="81"/>
            <rFont val="Tahoma"/>
            <family val="2"/>
          </rPr>
          <t>[2017]38</t>
        </r>
        <r>
          <rPr>
            <sz val="9"/>
            <color indexed="81"/>
            <rFont val="宋体"/>
            <family val="3"/>
            <charset val="134"/>
          </rPr>
          <t>号辽宁分公司关于开展保险产品销售管理情况自查自纠工作的报告》的检查发现已过</t>
        </r>
        <r>
          <rPr>
            <sz val="9"/>
            <color indexed="81"/>
            <rFont val="Tahoma"/>
            <family val="2"/>
          </rPr>
          <t>1</t>
        </r>
        <r>
          <rPr>
            <sz val="9"/>
            <color indexed="81"/>
            <rFont val="宋体"/>
            <family val="3"/>
            <charset val="134"/>
          </rPr>
          <t>年</t>
        </r>
        <r>
          <rPr>
            <sz val="9"/>
            <color indexed="81"/>
            <rFont val="Tahoma"/>
            <family val="2"/>
          </rPr>
          <t xml:space="preserve">-17Q2
</t>
        </r>
      </text>
    </comment>
    <comment ref="AJ28" authorId="2">
      <text>
        <r>
          <rPr>
            <b/>
            <sz val="9"/>
            <color indexed="81"/>
            <rFont val="宋体"/>
            <family val="3"/>
            <charset val="134"/>
          </rPr>
          <t>徐梦薇</t>
        </r>
        <r>
          <rPr>
            <b/>
            <sz val="9"/>
            <color indexed="81"/>
            <rFont val="Tahoma"/>
            <family val="2"/>
          </rPr>
          <t>:
2017Q2</t>
        </r>
        <r>
          <rPr>
            <b/>
            <sz val="9"/>
            <color indexed="81"/>
            <rFont val="宋体"/>
            <family val="3"/>
            <charset val="134"/>
          </rPr>
          <t xml:space="preserve">事件过期
</t>
        </r>
      </text>
    </comment>
    <comment ref="AN2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治乱打非期间，公司自查发现个险渠道代理人庄树红私自印发宣传折页，当场予以销毁，并已于</t>
        </r>
        <r>
          <rPr>
            <sz val="9"/>
            <color indexed="81"/>
            <rFont val="Tahoma"/>
            <family val="2"/>
          </rPr>
          <t>5</t>
        </r>
        <r>
          <rPr>
            <sz val="9"/>
            <color indexed="81"/>
            <rFont val="宋体"/>
            <family val="3"/>
            <charset val="134"/>
          </rPr>
          <t>月</t>
        </r>
        <r>
          <rPr>
            <sz val="9"/>
            <color indexed="81"/>
            <rFont val="Tahoma"/>
            <family val="2"/>
          </rPr>
          <t>8</t>
        </r>
        <r>
          <rPr>
            <sz val="9"/>
            <color indexed="81"/>
            <rFont val="宋体"/>
            <family val="3"/>
            <charset val="134"/>
          </rPr>
          <t>日完成问责。</t>
        </r>
      </text>
    </comment>
    <comment ref="AR28" authorId="1">
      <text>
        <r>
          <rPr>
            <b/>
            <sz val="9"/>
            <color indexed="81"/>
            <rFont val="Tahoma"/>
            <family val="2"/>
          </rPr>
          <t>pe0826:</t>
        </r>
        <r>
          <rPr>
            <sz val="9"/>
            <color indexed="81"/>
            <rFont val="Tahoma"/>
            <family val="2"/>
          </rPr>
          <t xml:space="preserve">
1)</t>
        </r>
        <r>
          <rPr>
            <sz val="9"/>
            <color indexed="81"/>
            <rFont val="宋体"/>
            <family val="3"/>
            <charset val="134"/>
          </rPr>
          <t>、</t>
        </r>
        <r>
          <rPr>
            <sz val="9"/>
            <color indexed="81"/>
            <rFont val="Tahoma"/>
            <family val="2"/>
          </rPr>
          <t>2017</t>
        </r>
        <r>
          <rPr>
            <sz val="9"/>
            <color indexed="81"/>
            <rFont val="宋体"/>
            <family val="3"/>
            <charset val="134"/>
          </rPr>
          <t>年二季度发现以下问题：</t>
        </r>
        <r>
          <rPr>
            <sz val="9"/>
            <color indexed="81"/>
            <rFont val="Tahoma"/>
            <family val="2"/>
          </rPr>
          <t>a</t>
        </r>
        <r>
          <rPr>
            <sz val="9"/>
            <color indexed="81"/>
            <rFont val="宋体"/>
            <family val="3"/>
            <charset val="134"/>
          </rPr>
          <t>、盐城和南通机构个别培训课件中存在销售误导的情况，主要体现在课件中出现</t>
        </r>
        <r>
          <rPr>
            <sz val="9"/>
            <color indexed="81"/>
            <rFont val="Tahoma"/>
            <family val="2"/>
          </rPr>
          <t>“</t>
        </r>
        <r>
          <rPr>
            <sz val="9"/>
            <color indexed="81"/>
            <rFont val="宋体"/>
            <family val="3"/>
            <charset val="134"/>
          </rPr>
          <t>存</t>
        </r>
        <r>
          <rPr>
            <sz val="9"/>
            <color indexed="81"/>
            <rFont val="Tahoma"/>
            <family val="2"/>
          </rPr>
          <t>”</t>
        </r>
        <r>
          <rPr>
            <sz val="9"/>
            <color indexed="81"/>
            <rFont val="宋体"/>
            <family val="3"/>
            <charset val="134"/>
          </rPr>
          <t>的字眼。（涉及报告及报送时间：</t>
        </r>
        <r>
          <rPr>
            <sz val="9"/>
            <color indexed="81"/>
            <rFont val="Tahoma"/>
            <family val="2"/>
          </rPr>
          <t>20170630-</t>
        </r>
        <r>
          <rPr>
            <sz val="9"/>
            <color indexed="81"/>
            <rFont val="宋体"/>
            <family val="3"/>
            <charset val="134"/>
          </rPr>
          <t>关于开展销售管理情况自查自纠的报告、</t>
        </r>
        <r>
          <rPr>
            <sz val="9"/>
            <color indexed="81"/>
            <rFont val="Tahoma"/>
            <family val="2"/>
          </rPr>
          <t>20170531</t>
        </r>
        <r>
          <rPr>
            <sz val="9"/>
            <color indexed="81"/>
            <rFont val="宋体"/>
            <family val="3"/>
            <charset val="134"/>
          </rPr>
          <t>根据</t>
        </r>
        <r>
          <rPr>
            <sz val="9"/>
            <color indexed="81"/>
            <rFont val="Tahoma"/>
            <family val="2"/>
          </rPr>
          <t>34</t>
        </r>
        <r>
          <rPr>
            <sz val="9"/>
            <color indexed="81"/>
            <rFont val="宋体"/>
            <family val="3"/>
            <charset val="134"/>
          </rPr>
          <t>、</t>
        </r>
        <r>
          <rPr>
            <sz val="9"/>
            <color indexed="81"/>
            <rFont val="Tahoma"/>
            <family val="2"/>
          </rPr>
          <t>35</t>
        </r>
        <r>
          <rPr>
            <sz val="9"/>
            <color indexed="81"/>
            <rFont val="宋体"/>
            <family val="3"/>
            <charset val="134"/>
          </rPr>
          <t>、</t>
        </r>
        <r>
          <rPr>
            <sz val="9"/>
            <color indexed="81"/>
            <rFont val="Tahoma"/>
            <family val="2"/>
          </rPr>
          <t>40</t>
        </r>
        <r>
          <rPr>
            <sz val="9"/>
            <color indexed="81"/>
            <rFont val="宋体"/>
            <family val="3"/>
            <charset val="134"/>
          </rPr>
          <t>号文开展风险防控自查报告</t>
        </r>
        <r>
          <rPr>
            <sz val="9"/>
            <color indexed="81"/>
            <rFont val="Tahoma"/>
            <family val="2"/>
          </rPr>
          <t>—</t>
        </r>
        <r>
          <rPr>
            <sz val="9"/>
            <color indexed="81"/>
            <rFont val="宋体"/>
            <family val="3"/>
            <charset val="134"/>
          </rPr>
          <t>上报总公司）；</t>
        </r>
        <r>
          <rPr>
            <sz val="9"/>
            <color indexed="81"/>
            <rFont val="Tahoma"/>
            <family val="2"/>
          </rPr>
          <t>b</t>
        </r>
        <r>
          <rPr>
            <sz val="9"/>
            <color indexed="81"/>
            <rFont val="宋体"/>
            <family val="3"/>
            <charset val="134"/>
          </rPr>
          <t>、部分保单存在电子投保确认书、回执、照会上投保人签名存在前后风格不一致的情况，或投、被保人签字风格相似，疑似代签名的情况。（涉及报告及报送时间：</t>
        </r>
        <r>
          <rPr>
            <sz val="9"/>
            <color indexed="81"/>
            <rFont val="Tahoma"/>
            <family val="2"/>
          </rPr>
          <t>20170630-</t>
        </r>
        <r>
          <rPr>
            <sz val="9"/>
            <color indexed="81"/>
            <rFont val="宋体"/>
            <family val="3"/>
            <charset val="134"/>
          </rPr>
          <t>关于开展销售管理情况自查自纠的报告、</t>
        </r>
        <r>
          <rPr>
            <sz val="9"/>
            <color indexed="81"/>
            <rFont val="Tahoma"/>
            <family val="2"/>
          </rPr>
          <t>20170531</t>
        </r>
        <r>
          <rPr>
            <sz val="9"/>
            <color indexed="81"/>
            <rFont val="宋体"/>
            <family val="3"/>
            <charset val="134"/>
          </rPr>
          <t>根据</t>
        </r>
        <r>
          <rPr>
            <sz val="9"/>
            <color indexed="81"/>
            <rFont val="Tahoma"/>
            <family val="2"/>
          </rPr>
          <t>34</t>
        </r>
        <r>
          <rPr>
            <sz val="9"/>
            <color indexed="81"/>
            <rFont val="宋体"/>
            <family val="3"/>
            <charset val="134"/>
          </rPr>
          <t>、</t>
        </r>
        <r>
          <rPr>
            <sz val="9"/>
            <color indexed="81"/>
            <rFont val="Tahoma"/>
            <family val="2"/>
          </rPr>
          <t>35</t>
        </r>
        <r>
          <rPr>
            <sz val="9"/>
            <color indexed="81"/>
            <rFont val="宋体"/>
            <family val="3"/>
            <charset val="134"/>
          </rPr>
          <t>、</t>
        </r>
        <r>
          <rPr>
            <sz val="9"/>
            <color indexed="81"/>
            <rFont val="Tahoma"/>
            <family val="2"/>
          </rPr>
          <t>40</t>
        </r>
        <r>
          <rPr>
            <sz val="9"/>
            <color indexed="81"/>
            <rFont val="宋体"/>
            <family val="3"/>
            <charset val="134"/>
          </rPr>
          <t>号文开展风险防控自查报告</t>
        </r>
        <r>
          <rPr>
            <sz val="9"/>
            <color indexed="81"/>
            <rFont val="Tahoma"/>
            <family val="2"/>
          </rPr>
          <t>—</t>
        </r>
        <r>
          <rPr>
            <sz val="9"/>
            <color indexed="81"/>
            <rFont val="宋体"/>
            <family val="3"/>
            <charset val="134"/>
          </rPr>
          <t>上报总公司）；</t>
        </r>
        <r>
          <rPr>
            <sz val="9"/>
            <color indexed="81"/>
            <rFont val="Tahoma"/>
            <family val="2"/>
          </rPr>
          <t>c</t>
        </r>
        <r>
          <rPr>
            <sz val="9"/>
            <color indexed="81"/>
            <rFont val="宋体"/>
            <family val="3"/>
            <charset val="134"/>
          </rPr>
          <t>、个别经代公司在</t>
        </r>
        <r>
          <rPr>
            <sz val="9"/>
            <color indexed="81"/>
            <rFont val="Tahoma"/>
            <family val="2"/>
          </rPr>
          <t>2007</t>
        </r>
        <r>
          <rPr>
            <sz val="9"/>
            <color indexed="81"/>
            <rFont val="宋体"/>
            <family val="3"/>
            <charset val="134"/>
          </rPr>
          <t>年销售的领创未来累积式分红保险</t>
        </r>
        <r>
          <rPr>
            <sz val="9"/>
            <color indexed="81"/>
            <rFont val="Tahoma"/>
            <family val="2"/>
          </rPr>
          <t>D</t>
        </r>
        <r>
          <rPr>
            <sz val="9"/>
            <color indexed="81"/>
            <rFont val="宋体"/>
            <family val="3"/>
            <charset val="134"/>
          </rPr>
          <t>款产品时可能存在夸大收益的行为。（涉及报告及报送时间：</t>
        </r>
        <r>
          <rPr>
            <sz val="9"/>
            <color indexed="81"/>
            <rFont val="Tahoma"/>
            <family val="2"/>
          </rPr>
          <t>20170630</t>
        </r>
        <r>
          <rPr>
            <sz val="9"/>
            <color indexed="81"/>
            <rFont val="宋体"/>
            <family val="3"/>
            <charset val="134"/>
          </rPr>
          <t>关于开展销售管理情况自查自纠的报告、</t>
        </r>
        <r>
          <rPr>
            <sz val="9"/>
            <color indexed="81"/>
            <rFont val="Tahoma"/>
            <family val="2"/>
          </rPr>
          <t>20170531</t>
        </r>
        <r>
          <rPr>
            <sz val="9"/>
            <color indexed="81"/>
            <rFont val="宋体"/>
            <family val="3"/>
            <charset val="134"/>
          </rPr>
          <t>根据</t>
        </r>
        <r>
          <rPr>
            <sz val="9"/>
            <color indexed="81"/>
            <rFont val="Tahoma"/>
            <family val="2"/>
          </rPr>
          <t>34</t>
        </r>
        <r>
          <rPr>
            <sz val="9"/>
            <color indexed="81"/>
            <rFont val="宋体"/>
            <family val="3"/>
            <charset val="134"/>
          </rPr>
          <t>、</t>
        </r>
        <r>
          <rPr>
            <sz val="9"/>
            <color indexed="81"/>
            <rFont val="Tahoma"/>
            <family val="2"/>
          </rPr>
          <t>35</t>
        </r>
        <r>
          <rPr>
            <sz val="9"/>
            <color indexed="81"/>
            <rFont val="宋体"/>
            <family val="3"/>
            <charset val="134"/>
          </rPr>
          <t>、</t>
        </r>
        <r>
          <rPr>
            <sz val="9"/>
            <color indexed="81"/>
            <rFont val="Tahoma"/>
            <family val="2"/>
          </rPr>
          <t>40</t>
        </r>
        <r>
          <rPr>
            <sz val="9"/>
            <color indexed="81"/>
            <rFont val="宋体"/>
            <family val="3"/>
            <charset val="134"/>
          </rPr>
          <t>号文开展风险防控自查报告</t>
        </r>
        <r>
          <rPr>
            <sz val="9"/>
            <color indexed="81"/>
            <rFont val="Tahoma"/>
            <family val="2"/>
          </rPr>
          <t>—</t>
        </r>
        <r>
          <rPr>
            <sz val="9"/>
            <color indexed="81"/>
            <rFont val="宋体"/>
            <family val="3"/>
            <charset val="134"/>
          </rPr>
          <t>上报总公司）；</t>
        </r>
        <r>
          <rPr>
            <sz val="9"/>
            <color indexed="81"/>
            <rFont val="Tahoma"/>
            <family val="2"/>
          </rPr>
          <t>d</t>
        </r>
        <r>
          <rPr>
            <sz val="9"/>
            <color indexed="81"/>
            <rFont val="宋体"/>
            <family val="3"/>
            <charset val="134"/>
          </rPr>
          <t>、个别销售人员在销售过程中存在夸大收益、代签名的行为。（涉及报告及报送时间：</t>
        </r>
        <r>
          <rPr>
            <sz val="9"/>
            <color indexed="81"/>
            <rFont val="Tahoma"/>
            <family val="2"/>
          </rPr>
          <t>20170630-</t>
        </r>
        <r>
          <rPr>
            <sz val="9"/>
            <color indexed="81"/>
            <rFont val="宋体"/>
            <family val="3"/>
            <charset val="134"/>
          </rPr>
          <t xml:space="preserve">关于开展销售管理情况自查自纠的报告）
</t>
        </r>
        <r>
          <rPr>
            <sz val="9"/>
            <color indexed="81"/>
            <rFont val="Tahoma"/>
            <family val="2"/>
          </rPr>
          <t>2</t>
        </r>
        <r>
          <rPr>
            <sz val="9"/>
            <color indexed="81"/>
            <rFont val="宋体"/>
            <family val="3"/>
            <charset val="134"/>
          </rPr>
          <t>）、</t>
        </r>
        <r>
          <rPr>
            <sz val="9"/>
            <color indexed="81"/>
            <rFont val="Tahoma"/>
            <family val="2"/>
          </rPr>
          <t>2017</t>
        </r>
        <r>
          <rPr>
            <sz val="9"/>
            <color indexed="81"/>
            <rFont val="宋体"/>
            <family val="3"/>
            <charset val="134"/>
          </rPr>
          <t>年三季度发现以下问题：</t>
        </r>
        <r>
          <rPr>
            <sz val="9"/>
            <color indexed="81"/>
            <rFont val="Tahoma"/>
            <family val="2"/>
          </rPr>
          <t>a</t>
        </r>
        <r>
          <rPr>
            <sz val="9"/>
            <color indexed="81"/>
            <rFont val="宋体"/>
            <family val="3"/>
            <charset val="134"/>
          </rPr>
          <t>、在</t>
        </r>
        <r>
          <rPr>
            <sz val="9"/>
            <color indexed="81"/>
            <rFont val="Tahoma"/>
            <family val="2"/>
          </rPr>
          <t>“</t>
        </r>
        <r>
          <rPr>
            <sz val="9"/>
            <color indexed="81"/>
            <rFont val="宋体"/>
            <family val="3"/>
            <charset val="134"/>
          </rPr>
          <t>销售过程中存在夸大保险责任或保险产品利益</t>
        </r>
        <r>
          <rPr>
            <sz val="9"/>
            <color indexed="81"/>
            <rFont val="Tahoma"/>
            <family val="2"/>
          </rPr>
          <t>”</t>
        </r>
        <r>
          <rPr>
            <sz val="9"/>
            <color indexed="81"/>
            <rFont val="宋体"/>
            <family val="3"/>
            <charset val="134"/>
          </rPr>
          <t>方面，通过排查回访和投诉记录，发现个别业务员在展业过程中未能如实向投保人讲解收益不确定性的风险，未能详细讲解所有保险条款。针对该问题，公司已经通过完善的内部处置流程在发现问题的第一时间进行跟进并妥善处理。（涉及报告及报送时间：</t>
        </r>
        <r>
          <rPr>
            <sz val="9"/>
            <color indexed="81"/>
            <rFont val="Tahoma"/>
            <family val="2"/>
          </rPr>
          <t>20170731--2017</t>
        </r>
        <r>
          <rPr>
            <sz val="9"/>
            <color indexed="81"/>
            <rFont val="宋体"/>
            <family val="3"/>
            <charset val="134"/>
          </rPr>
          <t xml:space="preserve">年度风险排查报告）。
</t>
        </r>
        <r>
          <rPr>
            <sz val="9"/>
            <color indexed="81"/>
            <rFont val="Tahoma"/>
            <family val="2"/>
          </rPr>
          <t>3)</t>
        </r>
        <r>
          <rPr>
            <sz val="9"/>
            <color indexed="81"/>
            <rFont val="宋体"/>
            <family val="3"/>
            <charset val="134"/>
          </rPr>
          <t>、</t>
        </r>
        <r>
          <rPr>
            <sz val="9"/>
            <color indexed="81"/>
            <rFont val="Tahoma"/>
            <family val="2"/>
          </rPr>
          <t>2018</t>
        </r>
        <r>
          <rPr>
            <sz val="9"/>
            <color indexed="81"/>
            <rFont val="宋体"/>
            <family val="3"/>
            <charset val="134"/>
          </rPr>
          <t>年一季度发现以下问题：</t>
        </r>
        <r>
          <rPr>
            <sz val="9"/>
            <color indexed="81"/>
            <rFont val="Tahoma"/>
            <family val="2"/>
          </rPr>
          <t>a</t>
        </r>
        <r>
          <rPr>
            <sz val="9"/>
            <color indexed="81"/>
            <rFont val="宋体"/>
            <family val="3"/>
            <charset val="134"/>
          </rPr>
          <t>、部分机构销售人员存在通过微信朋友圈私自发布</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停售</t>
        </r>
        <r>
          <rPr>
            <sz val="9"/>
            <color indexed="81"/>
            <rFont val="Tahoma"/>
            <family val="2"/>
          </rPr>
          <t>”</t>
        </r>
        <r>
          <rPr>
            <sz val="9"/>
            <color indexed="81"/>
            <rFont val="宋体"/>
            <family val="3"/>
            <charset val="134"/>
          </rPr>
          <t>等违规字眼的信息。（涉及报告及报送时间：</t>
        </r>
        <r>
          <rPr>
            <sz val="9"/>
            <color indexed="81"/>
            <rFont val="Tahoma"/>
            <family val="2"/>
          </rPr>
          <t>20180325--</t>
        </r>
        <r>
          <rPr>
            <sz val="9"/>
            <color indexed="81"/>
            <rFont val="宋体"/>
            <family val="3"/>
            <charset val="134"/>
          </rPr>
          <t>治乱打非报告）</t>
        </r>
        <r>
          <rPr>
            <sz val="9"/>
            <color indexed="81"/>
            <rFont val="Tahoma"/>
            <family val="2"/>
          </rPr>
          <t>b</t>
        </r>
        <r>
          <rPr>
            <sz val="9"/>
            <color indexed="81"/>
            <rFont val="宋体"/>
            <family val="3"/>
            <charset val="134"/>
          </rPr>
          <t>、个别人员存在私自印制展业宣传资料的违规行为；（涉及报告及报送时间：</t>
        </r>
        <r>
          <rPr>
            <sz val="9"/>
            <color indexed="81"/>
            <rFont val="Tahoma"/>
            <family val="2"/>
          </rPr>
          <t>20180325--</t>
        </r>
        <r>
          <rPr>
            <sz val="9"/>
            <color indexed="81"/>
            <rFont val="宋体"/>
            <family val="3"/>
            <charset val="134"/>
          </rPr>
          <t>治乱打非报告）</t>
        </r>
        <r>
          <rPr>
            <sz val="9"/>
            <color indexed="81"/>
            <rFont val="Tahoma"/>
            <family val="2"/>
          </rPr>
          <t>c</t>
        </r>
        <r>
          <rPr>
            <sz val="9"/>
            <color indexed="81"/>
            <rFont val="宋体"/>
            <family val="3"/>
            <charset val="134"/>
          </rPr>
          <t>、苏州、徐州、泰州机构个别培训课件中存在</t>
        </r>
        <r>
          <rPr>
            <sz val="9"/>
            <color indexed="81"/>
            <rFont val="Tahoma"/>
            <family val="2"/>
          </rPr>
          <t>“</t>
        </r>
        <r>
          <rPr>
            <sz val="9"/>
            <color indexed="81"/>
            <rFont val="宋体"/>
            <family val="3"/>
            <charset val="134"/>
          </rPr>
          <t>存</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等违规的销售误导字眼；（涉及报告及报送时间：</t>
        </r>
        <r>
          <rPr>
            <sz val="9"/>
            <color indexed="81"/>
            <rFont val="Tahoma"/>
            <family val="2"/>
          </rPr>
          <t>20180325--</t>
        </r>
        <r>
          <rPr>
            <sz val="9"/>
            <color indexed="81"/>
            <rFont val="宋体"/>
            <family val="3"/>
            <charset val="134"/>
          </rPr>
          <t>治乱打非报告）</t>
        </r>
        <r>
          <rPr>
            <sz val="9"/>
            <color indexed="81"/>
            <rFont val="Tahoma"/>
            <family val="2"/>
          </rPr>
          <t>d</t>
        </r>
        <r>
          <rPr>
            <sz val="9"/>
            <color indexed="81"/>
            <rFont val="宋体"/>
            <family val="3"/>
            <charset val="134"/>
          </rPr>
          <t>、个别经代公司在</t>
        </r>
        <r>
          <rPr>
            <sz val="9"/>
            <color indexed="81"/>
            <rFont val="Tahoma"/>
            <family val="2"/>
          </rPr>
          <t>2007</t>
        </r>
        <r>
          <rPr>
            <sz val="9"/>
            <color indexed="81"/>
            <rFont val="宋体"/>
            <family val="3"/>
            <charset val="134"/>
          </rPr>
          <t>年销售的领创未来累积式分红保险</t>
        </r>
        <r>
          <rPr>
            <sz val="9"/>
            <color indexed="81"/>
            <rFont val="Tahoma"/>
            <family val="2"/>
          </rPr>
          <t>D</t>
        </r>
        <r>
          <rPr>
            <sz val="9"/>
            <color indexed="81"/>
            <rFont val="宋体"/>
            <family val="3"/>
            <charset val="134"/>
          </rPr>
          <t>款产品时可能存在夸大收益的行为；（涉及报告及报送时间：</t>
        </r>
        <r>
          <rPr>
            <sz val="9"/>
            <color indexed="81"/>
            <rFont val="Tahoma"/>
            <family val="2"/>
          </rPr>
          <t>20170630</t>
        </r>
        <r>
          <rPr>
            <sz val="9"/>
            <color indexed="81"/>
            <rFont val="宋体"/>
            <family val="3"/>
            <charset val="134"/>
          </rPr>
          <t>关于开展销售管理情况自查自纠的报告、</t>
        </r>
        <r>
          <rPr>
            <sz val="9"/>
            <color indexed="81"/>
            <rFont val="Tahoma"/>
            <family val="2"/>
          </rPr>
          <t>20180325--</t>
        </r>
        <r>
          <rPr>
            <sz val="9"/>
            <color indexed="81"/>
            <rFont val="宋体"/>
            <family val="3"/>
            <charset val="134"/>
          </rPr>
          <t>治乱打非报告）</t>
        </r>
        <r>
          <rPr>
            <sz val="9"/>
            <color indexed="81"/>
            <rFont val="Tahoma"/>
            <family val="2"/>
          </rPr>
          <t>e</t>
        </r>
        <r>
          <rPr>
            <sz val="9"/>
            <color indexed="81"/>
            <rFont val="宋体"/>
            <family val="3"/>
            <charset val="134"/>
          </rPr>
          <t>、个别销售人员在销售过程中存在夸大收益等销售误导行为；（涉及报告及报送时间：</t>
        </r>
        <r>
          <rPr>
            <sz val="9"/>
            <color indexed="81"/>
            <rFont val="Tahoma"/>
            <family val="2"/>
          </rPr>
          <t>20180325--</t>
        </r>
        <r>
          <rPr>
            <sz val="9"/>
            <color indexed="81"/>
            <rFont val="宋体"/>
            <family val="3"/>
            <charset val="134"/>
          </rPr>
          <t xml:space="preserve">治乱打非报告）
</t>
        </r>
      </text>
    </comment>
    <comment ref="AT28" authorId="2">
      <text>
        <r>
          <rPr>
            <b/>
            <sz val="9"/>
            <color indexed="81"/>
            <rFont val="宋体"/>
            <family val="3"/>
            <charset val="134"/>
          </rPr>
          <t>徐梦薇</t>
        </r>
        <r>
          <rPr>
            <b/>
            <sz val="9"/>
            <color indexed="81"/>
            <rFont val="Tahoma"/>
            <family val="2"/>
          </rPr>
          <t>:</t>
        </r>
        <r>
          <rPr>
            <sz val="9"/>
            <color indexed="81"/>
            <rFont val="Tahoma"/>
            <family val="2"/>
          </rPr>
          <t xml:space="preserve">
2017</t>
        </r>
        <r>
          <rPr>
            <sz val="9"/>
            <color indexed="81"/>
            <rFont val="宋体"/>
            <family val="3"/>
            <charset val="134"/>
          </rPr>
          <t>年</t>
        </r>
        <r>
          <rPr>
            <sz val="9"/>
            <color indexed="81"/>
            <rFont val="Tahoma"/>
            <family val="2"/>
          </rPr>
          <t>3</t>
        </r>
        <r>
          <rPr>
            <sz val="9"/>
            <color indexed="81"/>
            <rFont val="宋体"/>
            <family val="3"/>
            <charset val="134"/>
          </rPr>
          <t>季度以及</t>
        </r>
        <r>
          <rPr>
            <sz val="9"/>
            <color indexed="81"/>
            <rFont val="Tahoma"/>
            <family val="2"/>
          </rPr>
          <t>2018</t>
        </r>
        <r>
          <rPr>
            <sz val="9"/>
            <color indexed="81"/>
            <rFont val="宋体"/>
            <family val="3"/>
            <charset val="134"/>
          </rPr>
          <t>年</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 xml:space="preserve">季度开展风险排查
</t>
        </r>
        <r>
          <rPr>
            <sz val="9"/>
            <color indexed="81"/>
            <rFont val="Tahoma"/>
            <family val="2"/>
          </rPr>
          <t>1</t>
        </r>
        <r>
          <rPr>
            <sz val="9"/>
            <color indexed="81"/>
            <rFont val="宋体"/>
            <family val="3"/>
            <charset val="134"/>
          </rPr>
          <t>）、</t>
        </r>
        <r>
          <rPr>
            <sz val="9"/>
            <color indexed="81"/>
            <rFont val="Tahoma"/>
            <family val="2"/>
          </rPr>
          <t>2017</t>
        </r>
        <r>
          <rPr>
            <sz val="9"/>
            <color indexed="81"/>
            <rFont val="宋体"/>
            <family val="3"/>
            <charset val="134"/>
          </rPr>
          <t>年三季度发现以下问题：</t>
        </r>
        <r>
          <rPr>
            <sz val="9"/>
            <color indexed="81"/>
            <rFont val="Tahoma"/>
            <family val="2"/>
          </rPr>
          <t>a</t>
        </r>
        <r>
          <rPr>
            <sz val="9"/>
            <color indexed="81"/>
            <rFont val="宋体"/>
            <family val="3"/>
            <charset val="134"/>
          </rPr>
          <t>、在</t>
        </r>
        <r>
          <rPr>
            <sz val="9"/>
            <color indexed="81"/>
            <rFont val="Tahoma"/>
            <family val="2"/>
          </rPr>
          <t>“</t>
        </r>
        <r>
          <rPr>
            <sz val="9"/>
            <color indexed="81"/>
            <rFont val="宋体"/>
            <family val="3"/>
            <charset val="134"/>
          </rPr>
          <t>销售过程中存在夸大保险责任或保险产品利益</t>
        </r>
        <r>
          <rPr>
            <sz val="9"/>
            <color indexed="81"/>
            <rFont val="Tahoma"/>
            <family val="2"/>
          </rPr>
          <t>”</t>
        </r>
        <r>
          <rPr>
            <sz val="9"/>
            <color indexed="81"/>
            <rFont val="宋体"/>
            <family val="3"/>
            <charset val="134"/>
          </rPr>
          <t>方面，通过排查回访和投诉记录，发现个别业务员在展业过程中未能如实向投保人讲解收益不确定性的风险，未能详细讲解所有保险条款。针对该问题，公司已经通过完善的内部处置流程在发现问题的第一时间进行跟进并妥善处理。（涉及报告及报送时间：</t>
        </r>
        <r>
          <rPr>
            <sz val="9"/>
            <color indexed="81"/>
            <rFont val="Tahoma"/>
            <family val="2"/>
          </rPr>
          <t>20170731--2017</t>
        </r>
        <r>
          <rPr>
            <sz val="9"/>
            <color indexed="81"/>
            <rFont val="宋体"/>
            <family val="3"/>
            <charset val="134"/>
          </rPr>
          <t xml:space="preserve">年度风险排查报告）。
</t>
        </r>
        <r>
          <rPr>
            <sz val="9"/>
            <color indexed="81"/>
            <rFont val="Tahoma"/>
            <family val="2"/>
          </rPr>
          <t>2)</t>
        </r>
        <r>
          <rPr>
            <sz val="9"/>
            <color indexed="81"/>
            <rFont val="宋体"/>
            <family val="3"/>
            <charset val="134"/>
          </rPr>
          <t>、</t>
        </r>
        <r>
          <rPr>
            <sz val="9"/>
            <color indexed="81"/>
            <rFont val="Tahoma"/>
            <family val="2"/>
          </rPr>
          <t>2018</t>
        </r>
        <r>
          <rPr>
            <sz val="9"/>
            <color indexed="81"/>
            <rFont val="宋体"/>
            <family val="3"/>
            <charset val="134"/>
          </rPr>
          <t>年一季度发现以下问题：</t>
        </r>
        <r>
          <rPr>
            <sz val="9"/>
            <color indexed="81"/>
            <rFont val="Tahoma"/>
            <family val="2"/>
          </rPr>
          <t>a</t>
        </r>
        <r>
          <rPr>
            <sz val="9"/>
            <color indexed="81"/>
            <rFont val="宋体"/>
            <family val="3"/>
            <charset val="134"/>
          </rPr>
          <t>、部分机构销售人员存在通过微信朋友圈私自发布</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停售</t>
        </r>
        <r>
          <rPr>
            <sz val="9"/>
            <color indexed="81"/>
            <rFont val="Tahoma"/>
            <family val="2"/>
          </rPr>
          <t>”</t>
        </r>
        <r>
          <rPr>
            <sz val="9"/>
            <color indexed="81"/>
            <rFont val="宋体"/>
            <family val="3"/>
            <charset val="134"/>
          </rPr>
          <t>等违规字眼的信息。（涉及报告及报送时间：</t>
        </r>
        <r>
          <rPr>
            <sz val="9"/>
            <color indexed="81"/>
            <rFont val="Tahoma"/>
            <family val="2"/>
          </rPr>
          <t>20180325--</t>
        </r>
        <r>
          <rPr>
            <sz val="9"/>
            <color indexed="81"/>
            <rFont val="宋体"/>
            <family val="3"/>
            <charset val="134"/>
          </rPr>
          <t>治乱打非报告）</t>
        </r>
        <r>
          <rPr>
            <sz val="9"/>
            <color indexed="81"/>
            <rFont val="Tahoma"/>
            <family val="2"/>
          </rPr>
          <t>b</t>
        </r>
        <r>
          <rPr>
            <sz val="9"/>
            <color indexed="81"/>
            <rFont val="宋体"/>
            <family val="3"/>
            <charset val="134"/>
          </rPr>
          <t>、个别人员存在私自印制展业宣传资料的违规行为；（涉及报告及报送时间：</t>
        </r>
        <r>
          <rPr>
            <sz val="9"/>
            <color indexed="81"/>
            <rFont val="Tahoma"/>
            <family val="2"/>
          </rPr>
          <t>20180325--</t>
        </r>
        <r>
          <rPr>
            <sz val="9"/>
            <color indexed="81"/>
            <rFont val="宋体"/>
            <family val="3"/>
            <charset val="134"/>
          </rPr>
          <t>治乱打非报告）</t>
        </r>
        <r>
          <rPr>
            <sz val="9"/>
            <color indexed="81"/>
            <rFont val="Tahoma"/>
            <family val="2"/>
          </rPr>
          <t>c</t>
        </r>
        <r>
          <rPr>
            <sz val="9"/>
            <color indexed="81"/>
            <rFont val="宋体"/>
            <family val="3"/>
            <charset val="134"/>
          </rPr>
          <t>、苏州、徐州、泰州机构个别培训课件中存在</t>
        </r>
        <r>
          <rPr>
            <sz val="9"/>
            <color indexed="81"/>
            <rFont val="Tahoma"/>
            <family val="2"/>
          </rPr>
          <t>“</t>
        </r>
        <r>
          <rPr>
            <sz val="9"/>
            <color indexed="81"/>
            <rFont val="宋体"/>
            <family val="3"/>
            <charset val="134"/>
          </rPr>
          <t>存</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等违规的销售误导字眼；（涉及报告及报送时间：</t>
        </r>
        <r>
          <rPr>
            <sz val="9"/>
            <color indexed="81"/>
            <rFont val="Tahoma"/>
            <family val="2"/>
          </rPr>
          <t>20180325--</t>
        </r>
        <r>
          <rPr>
            <sz val="9"/>
            <color indexed="81"/>
            <rFont val="宋体"/>
            <family val="3"/>
            <charset val="134"/>
          </rPr>
          <t>治乱打非报告）</t>
        </r>
        <r>
          <rPr>
            <sz val="9"/>
            <color indexed="81"/>
            <rFont val="Tahoma"/>
            <family val="2"/>
          </rPr>
          <t>d</t>
        </r>
        <r>
          <rPr>
            <sz val="9"/>
            <color indexed="81"/>
            <rFont val="宋体"/>
            <family val="3"/>
            <charset val="134"/>
          </rPr>
          <t>、个别经代公司在</t>
        </r>
        <r>
          <rPr>
            <sz val="9"/>
            <color indexed="81"/>
            <rFont val="Tahoma"/>
            <family val="2"/>
          </rPr>
          <t>2007</t>
        </r>
        <r>
          <rPr>
            <sz val="9"/>
            <color indexed="81"/>
            <rFont val="宋体"/>
            <family val="3"/>
            <charset val="134"/>
          </rPr>
          <t>年销售的领创未来累积式分红保险</t>
        </r>
        <r>
          <rPr>
            <sz val="9"/>
            <color indexed="81"/>
            <rFont val="Tahoma"/>
            <family val="2"/>
          </rPr>
          <t>D</t>
        </r>
        <r>
          <rPr>
            <sz val="9"/>
            <color indexed="81"/>
            <rFont val="宋体"/>
            <family val="3"/>
            <charset val="134"/>
          </rPr>
          <t>款产品时可能存在夸大收益的行为；（涉及报告及报送时间：</t>
        </r>
        <r>
          <rPr>
            <sz val="9"/>
            <color indexed="81"/>
            <rFont val="Tahoma"/>
            <family val="2"/>
          </rPr>
          <t>20170630</t>
        </r>
        <r>
          <rPr>
            <sz val="9"/>
            <color indexed="81"/>
            <rFont val="宋体"/>
            <family val="3"/>
            <charset val="134"/>
          </rPr>
          <t>关于开展销售管理情况自查自纠的报告、</t>
        </r>
        <r>
          <rPr>
            <sz val="9"/>
            <color indexed="81"/>
            <rFont val="Tahoma"/>
            <family val="2"/>
          </rPr>
          <t>20180325--</t>
        </r>
        <r>
          <rPr>
            <sz val="9"/>
            <color indexed="81"/>
            <rFont val="宋体"/>
            <family val="3"/>
            <charset val="134"/>
          </rPr>
          <t>治乱打非报告）</t>
        </r>
        <r>
          <rPr>
            <sz val="9"/>
            <color indexed="81"/>
            <rFont val="Tahoma"/>
            <family val="2"/>
          </rPr>
          <t>e</t>
        </r>
        <r>
          <rPr>
            <sz val="9"/>
            <color indexed="81"/>
            <rFont val="宋体"/>
            <family val="3"/>
            <charset val="134"/>
          </rPr>
          <t>、个别销售人员在销售过程中存在夸大收益等销售误导行为；（涉及报告及报送时间：</t>
        </r>
        <r>
          <rPr>
            <sz val="9"/>
            <color indexed="81"/>
            <rFont val="Tahoma"/>
            <family val="2"/>
          </rPr>
          <t>20180325--</t>
        </r>
        <r>
          <rPr>
            <sz val="9"/>
            <color indexed="81"/>
            <rFont val="宋体"/>
            <family val="3"/>
            <charset val="134"/>
          </rPr>
          <t xml:space="preserve">治乱打非报告）
</t>
        </r>
        <r>
          <rPr>
            <sz val="9"/>
            <color indexed="81"/>
            <rFont val="Tahoma"/>
            <family val="2"/>
          </rPr>
          <t>3)</t>
        </r>
        <r>
          <rPr>
            <sz val="9"/>
            <color indexed="81"/>
            <rFont val="宋体"/>
            <family val="3"/>
            <charset val="134"/>
          </rPr>
          <t>、</t>
        </r>
        <r>
          <rPr>
            <sz val="9"/>
            <color indexed="81"/>
            <rFont val="Tahoma"/>
            <family val="2"/>
          </rPr>
          <t>2018</t>
        </r>
        <r>
          <rPr>
            <sz val="9"/>
            <color indexed="81"/>
            <rFont val="宋体"/>
            <family val="3"/>
            <charset val="134"/>
          </rPr>
          <t>年二季度发现以下问题：</t>
        </r>
        <r>
          <rPr>
            <sz val="9"/>
            <color indexed="81"/>
            <rFont val="Tahoma"/>
            <family val="2"/>
          </rPr>
          <t>a</t>
        </r>
        <r>
          <rPr>
            <sz val="9"/>
            <color indexed="81"/>
            <rFont val="宋体"/>
            <family val="3"/>
            <charset val="134"/>
          </rPr>
          <t>、部分机构销售人员存在通过微信朋友圈私自发布</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停售</t>
        </r>
        <r>
          <rPr>
            <sz val="9"/>
            <color indexed="81"/>
            <rFont val="Tahoma"/>
            <family val="2"/>
          </rPr>
          <t>”</t>
        </r>
        <r>
          <rPr>
            <sz val="9"/>
            <color indexed="81"/>
            <rFont val="宋体"/>
            <family val="3"/>
            <charset val="134"/>
          </rPr>
          <t>等违规字眼的信息。（涉及报告及报告时间：</t>
        </r>
        <r>
          <rPr>
            <sz val="9"/>
            <color indexed="81"/>
            <rFont val="Tahoma"/>
            <family val="2"/>
          </rPr>
          <t>20180428-“</t>
        </r>
        <r>
          <rPr>
            <sz val="9"/>
            <color indexed="81"/>
            <rFont val="宋体"/>
            <family val="3"/>
            <charset val="134"/>
          </rPr>
          <t>重塑监管</t>
        </r>
        <r>
          <rPr>
            <sz val="9"/>
            <color indexed="81"/>
            <rFont val="Tahoma"/>
            <family val="2"/>
          </rPr>
          <t xml:space="preserve"> </t>
        </r>
        <r>
          <rPr>
            <sz val="9"/>
            <color indexed="81"/>
            <rFont val="宋体"/>
            <family val="3"/>
            <charset val="134"/>
          </rPr>
          <t>保险监管大巡查大整治防风险</t>
        </r>
        <r>
          <rPr>
            <sz val="9"/>
            <color indexed="81"/>
            <rFont val="Tahoma"/>
            <family val="2"/>
          </rPr>
          <t>”</t>
        </r>
        <r>
          <rPr>
            <sz val="9"/>
            <color indexed="81"/>
            <rFont val="宋体"/>
            <family val="3"/>
            <charset val="134"/>
          </rPr>
          <t>行动的总结报告）；</t>
        </r>
        <r>
          <rPr>
            <sz val="9"/>
            <color indexed="81"/>
            <rFont val="Tahoma"/>
            <family val="2"/>
          </rPr>
          <t>b</t>
        </r>
        <r>
          <rPr>
            <sz val="9"/>
            <color indexed="81"/>
            <rFont val="宋体"/>
            <family val="3"/>
            <charset val="134"/>
          </rPr>
          <t>、南京、扬州、盐城机构个别内部培训课件中存在</t>
        </r>
        <r>
          <rPr>
            <sz val="9"/>
            <color indexed="81"/>
            <rFont val="Tahoma"/>
            <family val="2"/>
          </rPr>
          <t>“</t>
        </r>
        <r>
          <rPr>
            <sz val="9"/>
            <color indexed="81"/>
            <rFont val="宋体"/>
            <family val="3"/>
            <charset val="134"/>
          </rPr>
          <t>存</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理财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返本</t>
        </r>
        <r>
          <rPr>
            <sz val="9"/>
            <color indexed="81"/>
            <rFont val="Tahoma"/>
            <family val="2"/>
          </rPr>
          <t>”</t>
        </r>
        <r>
          <rPr>
            <sz val="9"/>
            <color indexed="81"/>
            <rFont val="宋体"/>
            <family val="3"/>
            <charset val="134"/>
          </rPr>
          <t>等违规的销售误导字眼。（涉及报告及报告时间：</t>
        </r>
        <r>
          <rPr>
            <sz val="9"/>
            <color indexed="81"/>
            <rFont val="Tahoma"/>
            <family val="2"/>
          </rPr>
          <t>20180428-“</t>
        </r>
        <r>
          <rPr>
            <sz val="9"/>
            <color indexed="81"/>
            <rFont val="宋体"/>
            <family val="3"/>
            <charset val="134"/>
          </rPr>
          <t>重塑监管</t>
        </r>
        <r>
          <rPr>
            <sz val="9"/>
            <color indexed="81"/>
            <rFont val="Tahoma"/>
            <family val="2"/>
          </rPr>
          <t xml:space="preserve"> </t>
        </r>
        <r>
          <rPr>
            <sz val="9"/>
            <color indexed="81"/>
            <rFont val="宋体"/>
            <family val="3"/>
            <charset val="134"/>
          </rPr>
          <t>保险监管大巡查大整治防风险</t>
        </r>
        <r>
          <rPr>
            <sz val="9"/>
            <color indexed="81"/>
            <rFont val="Tahoma"/>
            <family val="2"/>
          </rPr>
          <t>”</t>
        </r>
        <r>
          <rPr>
            <sz val="9"/>
            <color indexed="81"/>
            <rFont val="宋体"/>
            <family val="3"/>
            <charset val="134"/>
          </rPr>
          <t>行动的总结报告）</t>
        </r>
      </text>
    </comment>
    <comment ref="AX28" authorId="1">
      <text>
        <r>
          <rPr>
            <sz val="9"/>
            <color indexed="81"/>
            <rFont val="Tahoma"/>
            <family val="2"/>
          </rPr>
          <t>2017</t>
        </r>
        <r>
          <rPr>
            <sz val="9"/>
            <color indexed="81"/>
            <rFont val="宋体"/>
            <family val="3"/>
            <charset val="134"/>
          </rPr>
          <t>年</t>
        </r>
        <r>
          <rPr>
            <sz val="9"/>
            <color indexed="81"/>
            <rFont val="Tahoma"/>
            <family val="2"/>
          </rPr>
          <t>2</t>
        </r>
        <r>
          <rPr>
            <sz val="9"/>
            <color indexed="81"/>
            <rFont val="宋体"/>
            <family val="3"/>
            <charset val="134"/>
          </rPr>
          <t>季度开展的销售管理情况自查自纠工作中，发现销售人员销售误导、代抄录、私自制作宣传材料</t>
        </r>
        <r>
          <rPr>
            <sz val="9"/>
            <color indexed="81"/>
            <rFont val="Tahoma"/>
            <family val="2"/>
          </rPr>
          <t>1</t>
        </r>
        <r>
          <rPr>
            <sz val="9"/>
            <color indexed="81"/>
            <rFont val="宋体"/>
            <family val="3"/>
            <charset val="134"/>
          </rPr>
          <t>项风险事件</t>
        </r>
        <r>
          <rPr>
            <sz val="9"/>
            <color indexed="81"/>
            <rFont val="Tahoma"/>
            <family val="2"/>
          </rPr>
          <t>;2017</t>
        </r>
        <r>
          <rPr>
            <sz val="9"/>
            <color indexed="81"/>
            <rFont val="宋体"/>
            <family val="3"/>
            <charset val="134"/>
          </rPr>
          <t>年</t>
        </r>
        <r>
          <rPr>
            <sz val="9"/>
            <color indexed="81"/>
            <rFont val="Tahoma"/>
            <family val="2"/>
          </rPr>
          <t>3</t>
        </r>
        <r>
          <rPr>
            <sz val="9"/>
            <color indexed="81"/>
            <rFont val="宋体"/>
            <family val="3"/>
            <charset val="134"/>
          </rPr>
          <t>季度开展的年度风险排查和非法集资广告资讯排查中，发现销售人员不合规宣传材料、课件</t>
        </r>
        <r>
          <rPr>
            <sz val="9"/>
            <color indexed="81"/>
            <rFont val="Tahoma"/>
            <family val="2"/>
          </rPr>
          <t>1</t>
        </r>
        <r>
          <rPr>
            <sz val="9"/>
            <color indexed="81"/>
            <rFont val="宋体"/>
            <family val="3"/>
            <charset val="134"/>
          </rPr>
          <t>项风险事件；</t>
        </r>
        <r>
          <rPr>
            <sz val="9"/>
            <color indexed="81"/>
            <rFont val="Tahoma"/>
            <family val="2"/>
          </rPr>
          <t>2017</t>
        </r>
        <r>
          <rPr>
            <sz val="9"/>
            <color indexed="81"/>
            <rFont val="宋体"/>
            <family val="3"/>
            <charset val="134"/>
          </rPr>
          <t>年</t>
        </r>
        <r>
          <rPr>
            <sz val="9"/>
            <color indexed="81"/>
            <rFont val="Tahoma"/>
            <family val="2"/>
          </rPr>
          <t>4</t>
        </r>
        <r>
          <rPr>
            <sz val="9"/>
            <color indexed="81"/>
            <rFont val="宋体"/>
            <family val="3"/>
            <charset val="134"/>
          </rPr>
          <t>季度再次开展保险产品销售管理情况自查自纠工作中，发现代签名、代抄录</t>
        </r>
        <r>
          <rPr>
            <sz val="9"/>
            <color indexed="81"/>
            <rFont val="Tahoma"/>
            <family val="2"/>
          </rPr>
          <t>1</t>
        </r>
        <r>
          <rPr>
            <sz val="9"/>
            <color indexed="81"/>
            <rFont val="宋体"/>
            <family val="3"/>
            <charset val="134"/>
          </rPr>
          <t>项风险事件；</t>
        </r>
        <r>
          <rPr>
            <sz val="9"/>
            <color indexed="81"/>
            <rFont val="Tahoma"/>
            <family val="2"/>
          </rPr>
          <t>2018</t>
        </r>
        <r>
          <rPr>
            <sz val="9"/>
            <color indexed="81"/>
            <rFont val="宋体"/>
            <family val="3"/>
            <charset val="134"/>
          </rPr>
          <t>年</t>
        </r>
        <r>
          <rPr>
            <sz val="9"/>
            <color indexed="81"/>
            <rFont val="Tahoma"/>
            <family val="2"/>
          </rPr>
          <t>1</t>
        </r>
        <r>
          <rPr>
            <sz val="9"/>
            <color indexed="81"/>
            <rFont val="宋体"/>
            <family val="3"/>
            <charset val="134"/>
          </rPr>
          <t>季度治理销售乱象打击非法经营专项行动中，发现销售人员私自制作宣传材料</t>
        </r>
        <r>
          <rPr>
            <sz val="9"/>
            <color indexed="81"/>
            <rFont val="Tahoma"/>
            <family val="2"/>
          </rPr>
          <t>1</t>
        </r>
        <r>
          <rPr>
            <sz val="9"/>
            <color indexed="81"/>
            <rFont val="宋体"/>
            <family val="3"/>
            <charset val="134"/>
          </rPr>
          <t>项</t>
        </r>
        <r>
          <rPr>
            <sz val="9"/>
            <color indexed="81"/>
            <rFont val="Tahoma"/>
            <family val="2"/>
          </rPr>
          <t xml:space="preserve">
</t>
        </r>
      </text>
    </comment>
    <comment ref="AZ28" authorId="0">
      <text>
        <r>
          <rPr>
            <b/>
            <sz val="9"/>
            <color indexed="81"/>
            <rFont val="宋体"/>
            <family val="3"/>
            <charset val="134"/>
          </rPr>
          <t>徐梦薇</t>
        </r>
        <r>
          <rPr>
            <b/>
            <sz val="9"/>
            <color indexed="81"/>
            <rFont val="Tahoma"/>
            <family val="2"/>
          </rPr>
          <t>/Mengwei Xu:</t>
        </r>
        <r>
          <rPr>
            <sz val="9"/>
            <color indexed="81"/>
            <rFont val="Tahoma"/>
            <family val="2"/>
          </rPr>
          <t xml:space="preserve">
2017</t>
        </r>
        <r>
          <rPr>
            <sz val="9"/>
            <color indexed="81"/>
            <rFont val="宋体"/>
            <family val="3"/>
            <charset val="134"/>
          </rPr>
          <t>年</t>
        </r>
        <r>
          <rPr>
            <sz val="9"/>
            <color indexed="81"/>
            <rFont val="Tahoma"/>
            <family val="2"/>
          </rPr>
          <t>3</t>
        </r>
        <r>
          <rPr>
            <sz val="9"/>
            <color indexed="81"/>
            <rFont val="宋体"/>
            <family val="3"/>
            <charset val="134"/>
          </rPr>
          <t>季度开展的年度风险排查和非法集资广告资讯排查中，发现销售人员不合规宣传材料、课件</t>
        </r>
        <r>
          <rPr>
            <sz val="9"/>
            <color indexed="81"/>
            <rFont val="Tahoma"/>
            <family val="2"/>
          </rPr>
          <t>1</t>
        </r>
        <r>
          <rPr>
            <sz val="9"/>
            <color indexed="81"/>
            <rFont val="宋体"/>
            <family val="3"/>
            <charset val="134"/>
          </rPr>
          <t>项风险事件；</t>
        </r>
        <r>
          <rPr>
            <sz val="9"/>
            <color indexed="81"/>
            <rFont val="Tahoma"/>
            <family val="2"/>
          </rPr>
          <t>2017</t>
        </r>
        <r>
          <rPr>
            <sz val="9"/>
            <color indexed="81"/>
            <rFont val="宋体"/>
            <family val="3"/>
            <charset val="134"/>
          </rPr>
          <t>年</t>
        </r>
        <r>
          <rPr>
            <sz val="9"/>
            <color indexed="81"/>
            <rFont val="Tahoma"/>
            <family val="2"/>
          </rPr>
          <t>4</t>
        </r>
        <r>
          <rPr>
            <sz val="9"/>
            <color indexed="81"/>
            <rFont val="宋体"/>
            <family val="3"/>
            <charset val="134"/>
          </rPr>
          <t>季度再次开展保险产品销售管理情况自查自纠工作中，发现代签名、代抄录</t>
        </r>
        <r>
          <rPr>
            <sz val="9"/>
            <color indexed="81"/>
            <rFont val="Tahoma"/>
            <family val="2"/>
          </rPr>
          <t>1</t>
        </r>
        <r>
          <rPr>
            <sz val="9"/>
            <color indexed="81"/>
            <rFont val="宋体"/>
            <family val="3"/>
            <charset val="134"/>
          </rPr>
          <t>项风险事件；</t>
        </r>
        <r>
          <rPr>
            <sz val="9"/>
            <color indexed="81"/>
            <rFont val="Tahoma"/>
            <family val="2"/>
          </rPr>
          <t>2018</t>
        </r>
        <r>
          <rPr>
            <sz val="9"/>
            <color indexed="81"/>
            <rFont val="宋体"/>
            <family val="3"/>
            <charset val="134"/>
          </rPr>
          <t>年</t>
        </r>
        <r>
          <rPr>
            <sz val="9"/>
            <color indexed="81"/>
            <rFont val="Tahoma"/>
            <family val="2"/>
          </rPr>
          <t>1</t>
        </r>
        <r>
          <rPr>
            <sz val="9"/>
            <color indexed="81"/>
            <rFont val="宋体"/>
            <family val="3"/>
            <charset val="134"/>
          </rPr>
          <t>季度治理销售乱象打击非法经营专项行动中，发现销售人员私自制作宣传材料</t>
        </r>
        <r>
          <rPr>
            <sz val="9"/>
            <color indexed="81"/>
            <rFont val="Tahoma"/>
            <family val="2"/>
          </rPr>
          <t>1</t>
        </r>
        <r>
          <rPr>
            <sz val="9"/>
            <color indexed="81"/>
            <rFont val="宋体"/>
            <family val="3"/>
            <charset val="134"/>
          </rPr>
          <t>项</t>
        </r>
      </text>
    </comment>
    <comment ref="BJ28" authorId="3">
      <text>
        <r>
          <rPr>
            <b/>
            <sz val="9"/>
            <color indexed="81"/>
            <rFont val="宋体"/>
            <family val="3"/>
            <charset val="134"/>
          </rPr>
          <t>1.保单号810-20119449 代回访、客户投诉称业务人员讲解的收益与实际不符（2018年2月内控评估、2018年3月治乱打非中发现问题）；2.个别机构私自在A4纸上打印不合规的产品宣传单页，未经公司审批，主要问题为产品介绍不完整，未包含除外责任、犹豫期等内容。（2018年3月治乱打非中发现问题）</t>
        </r>
      </text>
    </comment>
    <comment ref="BL28" authorId="0">
      <text>
        <r>
          <rPr>
            <b/>
            <sz val="9"/>
            <color indexed="81"/>
            <rFont val="宋体"/>
            <family val="3"/>
            <charset val="134"/>
          </rPr>
          <t>徐梦薇</t>
        </r>
        <r>
          <rPr>
            <b/>
            <sz val="9"/>
            <color indexed="81"/>
            <rFont val="Tahoma"/>
            <family val="2"/>
          </rPr>
          <t>/Mengwei Xu:</t>
        </r>
        <r>
          <rPr>
            <sz val="9"/>
            <color indexed="81"/>
            <rFont val="Tahoma"/>
            <family val="2"/>
          </rPr>
          <t xml:space="preserve">
1.</t>
        </r>
        <r>
          <rPr>
            <sz val="9"/>
            <color indexed="81"/>
            <rFont val="宋体"/>
            <family val="3"/>
            <charset val="134"/>
          </rPr>
          <t>保单号</t>
        </r>
        <r>
          <rPr>
            <sz val="9"/>
            <color indexed="81"/>
            <rFont val="Tahoma"/>
            <family val="2"/>
          </rPr>
          <t xml:space="preserve">810-20119449 </t>
        </r>
        <r>
          <rPr>
            <sz val="9"/>
            <color indexed="81"/>
            <rFont val="宋体"/>
            <family val="3"/>
            <charset val="134"/>
          </rPr>
          <t>代回访、客户投诉称业务人员讲解的收益与实际不符（</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月内控评估、</t>
        </r>
        <r>
          <rPr>
            <sz val="9"/>
            <color indexed="81"/>
            <rFont val="Tahoma"/>
            <family val="2"/>
          </rPr>
          <t>2018</t>
        </r>
        <r>
          <rPr>
            <sz val="9"/>
            <color indexed="81"/>
            <rFont val="宋体"/>
            <family val="3"/>
            <charset val="134"/>
          </rPr>
          <t>年</t>
        </r>
        <r>
          <rPr>
            <sz val="9"/>
            <color indexed="81"/>
            <rFont val="Tahoma"/>
            <family val="2"/>
          </rPr>
          <t>3</t>
        </r>
        <r>
          <rPr>
            <sz val="9"/>
            <color indexed="81"/>
            <rFont val="宋体"/>
            <family val="3"/>
            <charset val="134"/>
          </rPr>
          <t>月治乱打非中发现问题）；</t>
        </r>
        <r>
          <rPr>
            <sz val="9"/>
            <color indexed="81"/>
            <rFont val="Tahoma"/>
            <family val="2"/>
          </rPr>
          <t>2.</t>
        </r>
        <r>
          <rPr>
            <sz val="9"/>
            <color indexed="81"/>
            <rFont val="宋体"/>
            <family val="3"/>
            <charset val="134"/>
          </rPr>
          <t>个别机构私自在</t>
        </r>
        <r>
          <rPr>
            <sz val="9"/>
            <color indexed="81"/>
            <rFont val="Tahoma"/>
            <family val="2"/>
          </rPr>
          <t>A4</t>
        </r>
        <r>
          <rPr>
            <sz val="9"/>
            <color indexed="81"/>
            <rFont val="宋体"/>
            <family val="3"/>
            <charset val="134"/>
          </rPr>
          <t>纸上打印不合规的产品宣传单页，未经公司审批，主要问题为产品介绍不完整，未包含除外责任、犹豫期等内容。（</t>
        </r>
        <r>
          <rPr>
            <sz val="9"/>
            <color indexed="81"/>
            <rFont val="Tahoma"/>
            <family val="2"/>
          </rPr>
          <t>2018</t>
        </r>
        <r>
          <rPr>
            <sz val="9"/>
            <color indexed="81"/>
            <rFont val="宋体"/>
            <family val="3"/>
            <charset val="134"/>
          </rPr>
          <t>年</t>
        </r>
        <r>
          <rPr>
            <sz val="9"/>
            <color indexed="81"/>
            <rFont val="Tahoma"/>
            <family val="2"/>
          </rPr>
          <t>3</t>
        </r>
        <r>
          <rPr>
            <sz val="9"/>
            <color indexed="81"/>
            <rFont val="宋体"/>
            <family val="3"/>
            <charset val="134"/>
          </rPr>
          <t>月治乱打非中发现问题）</t>
        </r>
      </text>
    </comment>
    <comment ref="BV28" authorId="1">
      <text>
        <r>
          <rPr>
            <b/>
            <sz val="9"/>
            <color indexed="81"/>
            <rFont val="Tahoma"/>
            <family val="2"/>
          </rPr>
          <t>1</t>
        </r>
        <r>
          <rPr>
            <b/>
            <sz val="9"/>
            <color indexed="81"/>
            <rFont val="宋体"/>
            <family val="3"/>
            <charset val="134"/>
          </rPr>
          <t>、在</t>
        </r>
        <r>
          <rPr>
            <b/>
            <sz val="9"/>
            <color indexed="81"/>
            <rFont val="Tahoma"/>
            <family val="2"/>
          </rPr>
          <t>2017</t>
        </r>
        <r>
          <rPr>
            <b/>
            <sz val="9"/>
            <color indexed="81"/>
            <rFont val="宋体"/>
            <family val="3"/>
            <charset val="134"/>
          </rPr>
          <t>年</t>
        </r>
        <r>
          <rPr>
            <b/>
            <sz val="9"/>
            <color indexed="81"/>
            <rFont val="Tahoma"/>
            <family val="2"/>
          </rPr>
          <t>6</t>
        </r>
        <r>
          <rPr>
            <b/>
            <sz val="9"/>
            <color indexed="81"/>
            <rFont val="宋体"/>
            <family val="3"/>
            <charset val="134"/>
          </rPr>
          <t>月销售管理自查自纠中，发现达州中支</t>
        </r>
        <r>
          <rPr>
            <b/>
            <sz val="9"/>
            <color indexed="81"/>
            <rFont val="Tahoma"/>
            <family val="2"/>
          </rPr>
          <t>20207271,20207272</t>
        </r>
        <r>
          <rPr>
            <b/>
            <sz val="9"/>
            <color indexed="81"/>
            <rFont val="宋体"/>
            <family val="3"/>
            <charset val="134"/>
          </rPr>
          <t>两张保单接听电话者不是同一人，存在代访。此问题反映在《销售管理自查自纠工作底稿》及《四川分公司关于开展销售管理自查自纠专项自查报告》中。</t>
        </r>
        <r>
          <rPr>
            <b/>
            <sz val="9"/>
            <color indexed="81"/>
            <rFont val="Tahoma"/>
            <family val="2"/>
          </rPr>
          <t xml:space="preserve">   2</t>
        </r>
        <r>
          <rPr>
            <b/>
            <sz val="9"/>
            <color indexed="81"/>
            <rFont val="宋体"/>
            <family val="3"/>
            <charset val="134"/>
          </rPr>
          <t>、</t>
        </r>
        <r>
          <rPr>
            <b/>
            <sz val="9"/>
            <color indexed="81"/>
            <rFont val="Tahoma"/>
            <family val="2"/>
          </rPr>
          <t>2018</t>
        </r>
        <r>
          <rPr>
            <b/>
            <sz val="9"/>
            <color indexed="81"/>
            <rFont val="宋体"/>
            <family val="3"/>
            <charset val="134"/>
          </rPr>
          <t>年</t>
        </r>
        <r>
          <rPr>
            <b/>
            <sz val="9"/>
            <color indexed="81"/>
            <rFont val="Tahoma"/>
            <family val="2"/>
          </rPr>
          <t>1</t>
        </r>
        <r>
          <rPr>
            <b/>
            <sz val="9"/>
            <color indexed="81"/>
            <rFont val="宋体"/>
            <family val="3"/>
            <charset val="134"/>
          </rPr>
          <t>月</t>
        </r>
        <r>
          <rPr>
            <b/>
            <sz val="9"/>
            <color indexed="81"/>
            <rFont val="Tahoma"/>
            <family val="2"/>
          </rPr>
          <t>-2</t>
        </r>
        <r>
          <rPr>
            <b/>
            <sz val="9"/>
            <color indexed="81"/>
            <rFont val="宋体"/>
            <family val="3"/>
            <charset val="134"/>
          </rPr>
          <t>月开展</t>
        </r>
        <r>
          <rPr>
            <b/>
            <sz val="9"/>
            <color indexed="81"/>
            <rFont val="Tahoma"/>
            <family val="2"/>
          </rPr>
          <t>“</t>
        </r>
        <r>
          <rPr>
            <b/>
            <sz val="9"/>
            <color indexed="81"/>
            <rFont val="宋体"/>
            <family val="3"/>
            <charset val="134"/>
          </rPr>
          <t>治乱打非</t>
        </r>
        <r>
          <rPr>
            <b/>
            <sz val="9"/>
            <color indexed="81"/>
            <rFont val="Tahoma"/>
            <family val="2"/>
          </rPr>
          <t>”</t>
        </r>
        <r>
          <rPr>
            <b/>
            <sz val="9"/>
            <color indexed="81"/>
            <rFont val="宋体"/>
            <family val="3"/>
            <charset val="134"/>
          </rPr>
          <t>专项检查，排查</t>
        </r>
        <r>
          <rPr>
            <b/>
            <sz val="9"/>
            <color indexed="81"/>
            <rFont val="Tahoma"/>
            <family val="2"/>
          </rPr>
          <t>2017</t>
        </r>
        <r>
          <rPr>
            <b/>
            <sz val="9"/>
            <color indexed="81"/>
            <rFont val="宋体"/>
            <family val="3"/>
            <charset val="134"/>
          </rPr>
          <t>年</t>
        </r>
        <r>
          <rPr>
            <b/>
            <sz val="9"/>
            <color indexed="81"/>
            <rFont val="Tahoma"/>
            <family val="2"/>
          </rPr>
          <t>1</t>
        </r>
        <r>
          <rPr>
            <b/>
            <sz val="9"/>
            <color indexed="81"/>
            <rFont val="宋体"/>
            <family val="3"/>
            <charset val="134"/>
          </rPr>
          <t>月</t>
        </r>
        <r>
          <rPr>
            <b/>
            <sz val="9"/>
            <color indexed="81"/>
            <rFont val="Tahoma"/>
            <family val="2"/>
          </rPr>
          <t>1</t>
        </r>
        <r>
          <rPr>
            <b/>
            <sz val="9"/>
            <color indexed="81"/>
            <rFont val="宋体"/>
            <family val="3"/>
            <charset val="134"/>
          </rPr>
          <t>日至</t>
        </r>
        <r>
          <rPr>
            <b/>
            <sz val="9"/>
            <color indexed="81"/>
            <rFont val="Tahoma"/>
            <family val="2"/>
          </rPr>
          <t>2018</t>
        </r>
        <r>
          <rPr>
            <b/>
            <sz val="9"/>
            <color indexed="81"/>
            <rFont val="宋体"/>
            <family val="3"/>
            <charset val="134"/>
          </rPr>
          <t>年</t>
        </r>
        <r>
          <rPr>
            <b/>
            <sz val="9"/>
            <color indexed="81"/>
            <rFont val="Tahoma"/>
            <family val="2"/>
          </rPr>
          <t>2</t>
        </r>
        <r>
          <rPr>
            <b/>
            <sz val="9"/>
            <color indexed="81"/>
            <rFont val="宋体"/>
            <family val="3"/>
            <charset val="134"/>
          </rPr>
          <t>月</t>
        </r>
        <r>
          <rPr>
            <b/>
            <sz val="9"/>
            <color indexed="81"/>
            <rFont val="Tahoma"/>
            <family val="2"/>
          </rPr>
          <t>28</t>
        </r>
        <r>
          <rPr>
            <b/>
            <sz val="9"/>
            <color indexed="81"/>
            <rFont val="宋体"/>
            <family val="3"/>
            <charset val="134"/>
          </rPr>
          <t>日的电话回访问题件，发现</t>
        </r>
        <r>
          <rPr>
            <b/>
            <sz val="9"/>
            <color indexed="81"/>
            <rFont val="Tahoma"/>
            <family val="2"/>
          </rPr>
          <t>20253418</t>
        </r>
        <r>
          <rPr>
            <b/>
            <sz val="9"/>
            <color indexed="81"/>
            <rFont val="宋体"/>
            <family val="3"/>
            <charset val="134"/>
          </rPr>
          <t>、</t>
        </r>
        <r>
          <rPr>
            <b/>
            <sz val="9"/>
            <color indexed="81"/>
            <rFont val="Tahoma"/>
            <family val="2"/>
          </rPr>
          <t>20253242</t>
        </r>
        <r>
          <rPr>
            <b/>
            <sz val="9"/>
            <color indexed="81"/>
            <rFont val="宋体"/>
            <family val="3"/>
            <charset val="134"/>
          </rPr>
          <t>、</t>
        </r>
        <r>
          <rPr>
            <b/>
            <sz val="9"/>
            <color indexed="81"/>
            <rFont val="Tahoma"/>
            <family val="2"/>
          </rPr>
          <t>20253243</t>
        </r>
        <r>
          <rPr>
            <b/>
            <sz val="9"/>
            <color indexed="81"/>
            <rFont val="宋体"/>
            <family val="3"/>
            <charset val="134"/>
          </rPr>
          <t>、</t>
        </r>
        <r>
          <rPr>
            <b/>
            <sz val="9"/>
            <color indexed="81"/>
            <rFont val="Tahoma"/>
            <family val="2"/>
          </rPr>
          <t>20253260</t>
        </r>
        <r>
          <rPr>
            <b/>
            <sz val="9"/>
            <color indexed="81"/>
            <rFont val="宋体"/>
            <family val="3"/>
            <charset val="134"/>
          </rPr>
          <t>、</t>
        </r>
        <r>
          <rPr>
            <b/>
            <sz val="9"/>
            <color indexed="81"/>
            <rFont val="Tahoma"/>
            <family val="2"/>
          </rPr>
          <t>20207828</t>
        </r>
        <r>
          <rPr>
            <b/>
            <sz val="9"/>
            <color indexed="81"/>
            <rFont val="宋体"/>
            <family val="3"/>
            <charset val="134"/>
          </rPr>
          <t>保单为代回访。此问题反映在《恒安标准人寿保险有限公司四川分公司关于开展整治销售乱象打击非法经营自查自纠工作的报告》中。</t>
        </r>
      </text>
    </comment>
    <comment ref="BX28" authorId="1">
      <text>
        <r>
          <rPr>
            <b/>
            <sz val="9"/>
            <color indexed="81"/>
            <rFont val="Tahoma"/>
            <family val="2"/>
          </rPr>
          <t>1</t>
        </r>
        <r>
          <rPr>
            <b/>
            <sz val="9"/>
            <color indexed="81"/>
            <rFont val="宋体"/>
            <family val="3"/>
            <charset val="134"/>
          </rPr>
          <t>、</t>
        </r>
        <r>
          <rPr>
            <b/>
            <sz val="9"/>
            <color indexed="81"/>
            <rFont val="Tahoma"/>
            <family val="2"/>
          </rPr>
          <t>2018</t>
        </r>
        <r>
          <rPr>
            <b/>
            <sz val="9"/>
            <color indexed="81"/>
            <rFont val="宋体"/>
            <family val="3"/>
            <charset val="134"/>
          </rPr>
          <t>年</t>
        </r>
        <r>
          <rPr>
            <b/>
            <sz val="9"/>
            <color indexed="81"/>
            <rFont val="Tahoma"/>
            <family val="2"/>
          </rPr>
          <t>1</t>
        </r>
        <r>
          <rPr>
            <b/>
            <sz val="9"/>
            <color indexed="81"/>
            <rFont val="宋体"/>
            <family val="3"/>
            <charset val="134"/>
          </rPr>
          <t>月</t>
        </r>
        <r>
          <rPr>
            <b/>
            <sz val="9"/>
            <color indexed="81"/>
            <rFont val="Tahoma"/>
            <family val="2"/>
          </rPr>
          <t>-2</t>
        </r>
        <r>
          <rPr>
            <b/>
            <sz val="9"/>
            <color indexed="81"/>
            <rFont val="宋体"/>
            <family val="3"/>
            <charset val="134"/>
          </rPr>
          <t>月开展</t>
        </r>
        <r>
          <rPr>
            <b/>
            <sz val="9"/>
            <color indexed="81"/>
            <rFont val="Tahoma"/>
            <family val="2"/>
          </rPr>
          <t>“</t>
        </r>
        <r>
          <rPr>
            <b/>
            <sz val="9"/>
            <color indexed="81"/>
            <rFont val="宋体"/>
            <family val="3"/>
            <charset val="134"/>
          </rPr>
          <t>治乱打非</t>
        </r>
        <r>
          <rPr>
            <b/>
            <sz val="9"/>
            <color indexed="81"/>
            <rFont val="Tahoma"/>
            <family val="2"/>
          </rPr>
          <t>”</t>
        </r>
        <r>
          <rPr>
            <b/>
            <sz val="9"/>
            <color indexed="81"/>
            <rFont val="宋体"/>
            <family val="3"/>
            <charset val="134"/>
          </rPr>
          <t>专项检查，排查</t>
        </r>
        <r>
          <rPr>
            <b/>
            <sz val="9"/>
            <color indexed="81"/>
            <rFont val="Tahoma"/>
            <family val="2"/>
          </rPr>
          <t>2017</t>
        </r>
        <r>
          <rPr>
            <b/>
            <sz val="9"/>
            <color indexed="81"/>
            <rFont val="宋体"/>
            <family val="3"/>
            <charset val="134"/>
          </rPr>
          <t>年</t>
        </r>
        <r>
          <rPr>
            <b/>
            <sz val="9"/>
            <color indexed="81"/>
            <rFont val="Tahoma"/>
            <family val="2"/>
          </rPr>
          <t>1</t>
        </r>
        <r>
          <rPr>
            <b/>
            <sz val="9"/>
            <color indexed="81"/>
            <rFont val="宋体"/>
            <family val="3"/>
            <charset val="134"/>
          </rPr>
          <t>月</t>
        </r>
        <r>
          <rPr>
            <b/>
            <sz val="9"/>
            <color indexed="81"/>
            <rFont val="Tahoma"/>
            <family val="2"/>
          </rPr>
          <t>1</t>
        </r>
        <r>
          <rPr>
            <b/>
            <sz val="9"/>
            <color indexed="81"/>
            <rFont val="宋体"/>
            <family val="3"/>
            <charset val="134"/>
          </rPr>
          <t>日至</t>
        </r>
        <r>
          <rPr>
            <b/>
            <sz val="9"/>
            <color indexed="81"/>
            <rFont val="Tahoma"/>
            <family val="2"/>
          </rPr>
          <t>2018</t>
        </r>
        <r>
          <rPr>
            <b/>
            <sz val="9"/>
            <color indexed="81"/>
            <rFont val="宋体"/>
            <family val="3"/>
            <charset val="134"/>
          </rPr>
          <t>年</t>
        </r>
        <r>
          <rPr>
            <b/>
            <sz val="9"/>
            <color indexed="81"/>
            <rFont val="Tahoma"/>
            <family val="2"/>
          </rPr>
          <t>2</t>
        </r>
        <r>
          <rPr>
            <b/>
            <sz val="9"/>
            <color indexed="81"/>
            <rFont val="宋体"/>
            <family val="3"/>
            <charset val="134"/>
          </rPr>
          <t>月</t>
        </r>
        <r>
          <rPr>
            <b/>
            <sz val="9"/>
            <color indexed="81"/>
            <rFont val="Tahoma"/>
            <family val="2"/>
          </rPr>
          <t>28</t>
        </r>
        <r>
          <rPr>
            <b/>
            <sz val="9"/>
            <color indexed="81"/>
            <rFont val="宋体"/>
            <family val="3"/>
            <charset val="134"/>
          </rPr>
          <t>日的电话回访问题件，发现</t>
        </r>
        <r>
          <rPr>
            <b/>
            <sz val="9"/>
            <color indexed="81"/>
            <rFont val="Tahoma"/>
            <family val="2"/>
          </rPr>
          <t>20253418</t>
        </r>
        <r>
          <rPr>
            <b/>
            <sz val="9"/>
            <color indexed="81"/>
            <rFont val="宋体"/>
            <family val="3"/>
            <charset val="134"/>
          </rPr>
          <t>、</t>
        </r>
        <r>
          <rPr>
            <b/>
            <sz val="9"/>
            <color indexed="81"/>
            <rFont val="Tahoma"/>
            <family val="2"/>
          </rPr>
          <t>20253242</t>
        </r>
        <r>
          <rPr>
            <b/>
            <sz val="9"/>
            <color indexed="81"/>
            <rFont val="宋体"/>
            <family val="3"/>
            <charset val="134"/>
          </rPr>
          <t>、</t>
        </r>
        <r>
          <rPr>
            <b/>
            <sz val="9"/>
            <color indexed="81"/>
            <rFont val="Tahoma"/>
            <family val="2"/>
          </rPr>
          <t>20253243</t>
        </r>
        <r>
          <rPr>
            <b/>
            <sz val="9"/>
            <color indexed="81"/>
            <rFont val="宋体"/>
            <family val="3"/>
            <charset val="134"/>
          </rPr>
          <t>、</t>
        </r>
        <r>
          <rPr>
            <b/>
            <sz val="9"/>
            <color indexed="81"/>
            <rFont val="Tahoma"/>
            <family val="2"/>
          </rPr>
          <t>20253260</t>
        </r>
        <r>
          <rPr>
            <b/>
            <sz val="9"/>
            <color indexed="81"/>
            <rFont val="宋体"/>
            <family val="3"/>
            <charset val="134"/>
          </rPr>
          <t>、</t>
        </r>
        <r>
          <rPr>
            <b/>
            <sz val="9"/>
            <color indexed="81"/>
            <rFont val="Tahoma"/>
            <family val="2"/>
          </rPr>
          <t>20207828</t>
        </r>
        <r>
          <rPr>
            <b/>
            <sz val="9"/>
            <color indexed="81"/>
            <rFont val="宋体"/>
            <family val="3"/>
            <charset val="134"/>
          </rPr>
          <t>保单为代回访。此问题反映在《恒安标准人寿保险有限公司四川分公司关于开展整治销售乱象打击非法经营自查自纠工作的报告》中。</t>
        </r>
      </text>
    </comment>
    <comment ref="BZ28" authorId="1">
      <text>
        <r>
          <rPr>
            <b/>
            <sz val="9"/>
            <color indexed="81"/>
            <rFont val="Tahoma"/>
            <family val="2"/>
          </rPr>
          <t>2017</t>
        </r>
        <r>
          <rPr>
            <b/>
            <sz val="9"/>
            <color indexed="81"/>
            <rFont val="宋体"/>
            <family val="3"/>
            <charset val="134"/>
          </rPr>
          <t>年</t>
        </r>
        <r>
          <rPr>
            <b/>
            <sz val="9"/>
            <color indexed="81"/>
            <rFont val="Tahoma"/>
            <family val="2"/>
          </rPr>
          <t>6</t>
        </r>
        <r>
          <rPr>
            <b/>
            <sz val="9"/>
            <color indexed="81"/>
            <rFont val="宋体"/>
            <family val="3"/>
            <charset val="134"/>
          </rPr>
          <t xml:space="preserve">月份事件过期
</t>
        </r>
      </text>
    </comment>
    <comment ref="AZ32" authorId="0">
      <text>
        <r>
          <rPr>
            <b/>
            <sz val="9"/>
            <color indexed="81"/>
            <rFont val="宋体"/>
            <family val="3"/>
            <charset val="134"/>
          </rPr>
          <t>徐梦薇</t>
        </r>
        <r>
          <rPr>
            <b/>
            <sz val="9"/>
            <color indexed="81"/>
            <rFont val="Tahoma"/>
            <family val="2"/>
          </rPr>
          <t>/Mengwei Xu:</t>
        </r>
        <r>
          <rPr>
            <sz val="9"/>
            <color indexed="81"/>
            <rFont val="Tahoma"/>
            <family val="2"/>
          </rPr>
          <t xml:space="preserve">
2018</t>
        </r>
        <r>
          <rPr>
            <sz val="9"/>
            <color indexed="81"/>
            <rFont val="宋体"/>
            <family val="3"/>
            <charset val="134"/>
          </rPr>
          <t>年</t>
        </r>
        <r>
          <rPr>
            <sz val="9"/>
            <color indexed="81"/>
            <rFont val="Tahoma"/>
            <family val="2"/>
          </rPr>
          <t>1</t>
        </r>
        <r>
          <rPr>
            <sz val="9"/>
            <color indexed="81"/>
            <rFont val="宋体"/>
            <family val="3"/>
            <charset val="134"/>
          </rPr>
          <t>季度治理销售乱象打击非法经营专项行动中，发现</t>
        </r>
        <r>
          <rPr>
            <sz val="9"/>
            <color indexed="81"/>
            <rFont val="Tahoma"/>
            <family val="2"/>
          </rPr>
          <t xml:space="preserve">1 </t>
        </r>
        <r>
          <rPr>
            <sz val="9"/>
            <color indexed="81"/>
            <rFont val="宋体"/>
            <family val="3"/>
            <charset val="134"/>
          </rPr>
          <t>名销售人员销售非保险金融产品</t>
        </r>
      </text>
    </comment>
    <comment ref="BB32" authorId="0">
      <text>
        <r>
          <rPr>
            <b/>
            <sz val="9"/>
            <color indexed="81"/>
            <rFont val="宋体"/>
            <family val="3"/>
            <charset val="134"/>
          </rPr>
          <t>徐梦薇</t>
        </r>
        <r>
          <rPr>
            <b/>
            <sz val="9"/>
            <color indexed="81"/>
            <rFont val="Tahoma"/>
            <family val="2"/>
          </rPr>
          <t>/Mengwei Xu:</t>
        </r>
        <r>
          <rPr>
            <sz val="9"/>
            <color indexed="81"/>
            <rFont val="Tahoma"/>
            <family val="2"/>
          </rPr>
          <t xml:space="preserve">
2018</t>
        </r>
        <r>
          <rPr>
            <sz val="9"/>
            <color indexed="81"/>
            <rFont val="宋体"/>
            <family val="3"/>
            <charset val="134"/>
          </rPr>
          <t>年</t>
        </r>
        <r>
          <rPr>
            <sz val="9"/>
            <color indexed="81"/>
            <rFont val="Tahoma"/>
            <family val="2"/>
          </rPr>
          <t>1</t>
        </r>
        <r>
          <rPr>
            <sz val="9"/>
            <color indexed="81"/>
            <rFont val="宋体"/>
            <family val="3"/>
            <charset val="134"/>
          </rPr>
          <t>季度治理销售乱象打击非法经营专项行动中，发现</t>
        </r>
        <r>
          <rPr>
            <sz val="9"/>
            <color indexed="81"/>
            <rFont val="Tahoma"/>
            <family val="2"/>
          </rPr>
          <t xml:space="preserve">1 </t>
        </r>
        <r>
          <rPr>
            <sz val="9"/>
            <color indexed="81"/>
            <rFont val="宋体"/>
            <family val="3"/>
            <charset val="134"/>
          </rPr>
          <t>名销售人员销售非保险金融产品</t>
        </r>
      </text>
    </comment>
    <comment ref="AN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P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T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V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Z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B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L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N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X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BZ3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AN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P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T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V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Z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B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L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N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X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BZ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AN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P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T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V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Z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B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L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N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X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BZ3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AN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P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银保渠道承保量变化较明显</t>
        </r>
      </text>
    </comment>
    <comment ref="AT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V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多元渠道承保量变化较明显</t>
        </r>
      </text>
    </comment>
    <comment ref="AZ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B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承保量有变化</t>
        </r>
      </text>
    </comment>
    <comment ref="BL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N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承保量变化较明显</t>
        </r>
      </text>
    </comment>
    <comment ref="BX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BZ4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个险、多元渠道承保量变化较明显</t>
        </r>
      </text>
    </comment>
    <comment ref="AF42" authorId="1">
      <text>
        <r>
          <rPr>
            <b/>
            <sz val="9"/>
            <color indexed="81"/>
            <rFont val="Tahoma"/>
            <family val="2"/>
          </rPr>
          <t>2017</t>
        </r>
        <r>
          <rPr>
            <b/>
            <sz val="9"/>
            <color indexed="81"/>
            <rFont val="宋体"/>
            <family val="3"/>
            <charset val="134"/>
          </rPr>
          <t>年</t>
        </r>
        <r>
          <rPr>
            <b/>
            <sz val="9"/>
            <color indexed="81"/>
            <rFont val="Tahoma"/>
            <family val="2"/>
          </rPr>
          <t>7</t>
        </r>
        <r>
          <rPr>
            <b/>
            <sz val="9"/>
            <color indexed="81"/>
            <rFont val="宋体"/>
            <family val="3"/>
            <charset val="134"/>
          </rPr>
          <t>月，《辽宁抚顺人民银行执法检查意见书》（抚银）检意字［２０１７</t>
        </r>
        <r>
          <rPr>
            <b/>
            <sz val="9"/>
            <color indexed="81"/>
            <rFont val="Tahoma"/>
            <family val="2"/>
          </rPr>
          <t>]</t>
        </r>
        <r>
          <rPr>
            <b/>
            <sz val="9"/>
            <color indexed="81"/>
            <rFont val="宋体"/>
            <family val="3"/>
            <charset val="134"/>
          </rPr>
          <t>第</t>
        </r>
        <r>
          <rPr>
            <b/>
            <sz val="9"/>
            <color indexed="81"/>
            <rFont val="Tahoma"/>
            <family val="2"/>
          </rPr>
          <t>8-1</t>
        </r>
        <r>
          <rPr>
            <b/>
            <sz val="9"/>
            <color indexed="81"/>
            <rFont val="宋体"/>
            <family val="3"/>
            <charset val="134"/>
          </rPr>
          <t>号）</t>
        </r>
        <r>
          <rPr>
            <b/>
            <sz val="9"/>
            <color indexed="81"/>
            <rFont val="Tahoma"/>
            <family val="2"/>
          </rPr>
          <t>"</t>
        </r>
      </text>
    </comment>
    <comment ref="AH42" authorId="1">
      <text>
        <r>
          <rPr>
            <b/>
            <sz val="9"/>
            <color indexed="81"/>
            <rFont val="Tahoma"/>
            <family val="2"/>
          </rPr>
          <t>2017</t>
        </r>
        <r>
          <rPr>
            <b/>
            <sz val="9"/>
            <color indexed="81"/>
            <rFont val="宋体"/>
            <family val="3"/>
            <charset val="134"/>
          </rPr>
          <t>年</t>
        </r>
        <r>
          <rPr>
            <b/>
            <sz val="9"/>
            <color indexed="81"/>
            <rFont val="Tahoma"/>
            <family val="2"/>
          </rPr>
          <t>7</t>
        </r>
        <r>
          <rPr>
            <b/>
            <sz val="9"/>
            <color indexed="81"/>
            <rFont val="宋体"/>
            <family val="3"/>
            <charset val="134"/>
          </rPr>
          <t>月，《辽宁抚顺人民银行执法检查意见书》（抚银）检意字［２０１７</t>
        </r>
        <r>
          <rPr>
            <b/>
            <sz val="9"/>
            <color indexed="81"/>
            <rFont val="Tahoma"/>
            <family val="2"/>
          </rPr>
          <t>]</t>
        </r>
        <r>
          <rPr>
            <b/>
            <sz val="9"/>
            <color indexed="81"/>
            <rFont val="宋体"/>
            <family val="3"/>
            <charset val="134"/>
          </rPr>
          <t>第</t>
        </r>
        <r>
          <rPr>
            <b/>
            <sz val="9"/>
            <color indexed="81"/>
            <rFont val="Tahoma"/>
            <family val="2"/>
          </rPr>
          <t>8-1</t>
        </r>
        <r>
          <rPr>
            <b/>
            <sz val="9"/>
            <color indexed="81"/>
            <rFont val="宋体"/>
            <family val="3"/>
            <charset val="134"/>
          </rPr>
          <t>号）</t>
        </r>
        <r>
          <rPr>
            <b/>
            <sz val="9"/>
            <color indexed="81"/>
            <rFont val="Tahoma"/>
            <family val="2"/>
          </rPr>
          <t>"</t>
        </r>
      </text>
    </comment>
    <comment ref="AR42" authorId="1">
      <text>
        <r>
          <rPr>
            <b/>
            <sz val="9"/>
            <color indexed="81"/>
            <rFont val="Tahoma"/>
            <family val="2"/>
          </rPr>
          <t>"1.2017</t>
        </r>
        <r>
          <rPr>
            <b/>
            <sz val="9"/>
            <color indexed="81"/>
            <rFont val="宋体"/>
            <family val="3"/>
            <charset val="134"/>
          </rPr>
          <t>年</t>
        </r>
        <r>
          <rPr>
            <b/>
            <sz val="9"/>
            <color indexed="81"/>
            <rFont val="Tahoma"/>
            <family val="2"/>
          </rPr>
          <t>4</t>
        </r>
        <r>
          <rPr>
            <b/>
            <sz val="9"/>
            <color indexed="81"/>
            <rFont val="宋体"/>
            <family val="3"/>
            <charset val="134"/>
          </rPr>
          <t>月，《中国人民银行南京分行反洗钱监管意见书》（反洗钱考核评级</t>
        </r>
        <r>
          <rPr>
            <b/>
            <sz val="9"/>
            <color indexed="81"/>
            <rFont val="Tahoma"/>
            <family val="2"/>
          </rPr>
          <t>[2017](11)</t>
        </r>
        <r>
          <rPr>
            <b/>
            <sz val="9"/>
            <color indexed="81"/>
            <rFont val="宋体"/>
            <family val="3"/>
            <charset val="134"/>
          </rPr>
          <t>号）</t>
        </r>
      </text>
    </comment>
    <comment ref="AT4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已过期</t>
        </r>
      </text>
    </comment>
    <comment ref="AV4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已过期
</t>
        </r>
      </text>
    </comment>
    <comment ref="D46" authorId="1">
      <text>
        <r>
          <rPr>
            <b/>
            <sz val="9"/>
            <color indexed="81"/>
            <rFont val="Tahoma"/>
            <family val="2"/>
          </rPr>
          <t>pe0826:
Q1</t>
        </r>
        <r>
          <rPr>
            <b/>
            <sz val="9"/>
            <color indexed="81"/>
            <rFont val="宋体"/>
            <family val="3"/>
            <charset val="134"/>
          </rPr>
          <t>季度的实收保费和应收保费对应的是</t>
        </r>
        <r>
          <rPr>
            <b/>
            <sz val="9"/>
            <color indexed="81"/>
            <rFont val="Tahoma"/>
            <family val="2"/>
          </rPr>
          <t>11</t>
        </r>
        <r>
          <rPr>
            <b/>
            <sz val="9"/>
            <color indexed="81"/>
            <rFont val="宋体"/>
            <family val="3"/>
            <charset val="134"/>
          </rPr>
          <t>月到</t>
        </r>
        <r>
          <rPr>
            <b/>
            <sz val="9"/>
            <color indexed="81"/>
            <rFont val="Tahoma"/>
            <family val="2"/>
          </rPr>
          <t>1</t>
        </r>
        <r>
          <rPr>
            <b/>
            <sz val="9"/>
            <color indexed="81"/>
            <rFont val="宋体"/>
            <family val="3"/>
            <charset val="134"/>
          </rPr>
          <t>月的保单，</t>
        </r>
        <r>
          <rPr>
            <b/>
            <sz val="9"/>
            <color indexed="81"/>
            <rFont val="Tahoma"/>
            <family val="2"/>
          </rPr>
          <t>11</t>
        </r>
        <r>
          <rPr>
            <b/>
            <sz val="9"/>
            <color indexed="81"/>
            <rFont val="宋体"/>
            <family val="3"/>
            <charset val="134"/>
          </rPr>
          <t>月有打</t>
        </r>
        <r>
          <rPr>
            <b/>
            <sz val="9"/>
            <color indexed="81"/>
            <rFont val="Tahoma"/>
            <family val="2"/>
          </rPr>
          <t>0</t>
        </r>
        <r>
          <rPr>
            <b/>
            <sz val="9"/>
            <color indexed="81"/>
            <rFont val="宋体"/>
            <family val="3"/>
            <charset val="134"/>
          </rPr>
          <t>点，</t>
        </r>
        <r>
          <rPr>
            <b/>
            <sz val="9"/>
            <color indexed="81"/>
            <rFont val="Tahoma"/>
            <family val="2"/>
          </rPr>
          <t>1</t>
        </r>
        <r>
          <rPr>
            <b/>
            <sz val="9"/>
            <color indexed="81"/>
            <rFont val="宋体"/>
            <family val="3"/>
            <charset val="134"/>
          </rPr>
          <t>月有开门红，此段时间为业务最高时段</t>
        </r>
      </text>
    </comment>
    <comment ref="F46" authorId="1">
      <text>
        <r>
          <rPr>
            <b/>
            <sz val="9"/>
            <color indexed="81"/>
            <rFont val="Tahoma"/>
            <family val="2"/>
          </rPr>
          <t>pe0826:</t>
        </r>
        <r>
          <rPr>
            <sz val="9"/>
            <color indexed="81"/>
            <rFont val="Tahoma"/>
            <family val="2"/>
          </rPr>
          <t xml:space="preserve">
2018Q1</t>
        </r>
        <r>
          <rPr>
            <sz val="9"/>
            <color indexed="81"/>
            <rFont val="宋体"/>
            <family val="3"/>
            <charset val="134"/>
          </rPr>
          <t>还是这个证据吗？</t>
        </r>
      </text>
    </comment>
    <comment ref="BF4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主要原因是足额退保自助业务有所变化</t>
        </r>
      </text>
    </comment>
    <comment ref="BH49"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主要原因是足额退保自助业务有所变化</t>
        </r>
      </text>
    </comment>
    <comment ref="AH50" authorId="0">
      <text>
        <r>
          <rPr>
            <b/>
            <sz val="9"/>
            <color indexed="81"/>
            <rFont val="宋体"/>
            <family val="3"/>
            <charset val="134"/>
          </rPr>
          <t>徐梦薇</t>
        </r>
        <r>
          <rPr>
            <b/>
            <sz val="9"/>
            <color indexed="81"/>
            <rFont val="Tahoma"/>
            <family val="2"/>
          </rPr>
          <t xml:space="preserve">/Mengwei Xu:
</t>
        </r>
        <r>
          <rPr>
            <sz val="9"/>
            <color indexed="81"/>
            <rFont val="宋体"/>
            <family val="3"/>
            <charset val="134"/>
          </rPr>
          <t>主要是基数小</t>
        </r>
      </text>
    </comment>
    <comment ref="AJ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主要是基数小</t>
        </r>
      </text>
    </comment>
    <comment ref="AZ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BB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BL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主要是基数小</t>
        </r>
      </text>
    </comment>
    <comment ref="BN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主要是基数小</t>
        </r>
      </text>
    </comment>
    <comment ref="BX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主要是基数小，本期无</t>
        </r>
      </text>
    </comment>
    <comment ref="BZ5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主要是基数小，本期无</t>
        </r>
      </text>
    </comment>
    <comment ref="BF5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主要原因是自助和退保业务有所变化</t>
        </r>
      </text>
    </comment>
    <comment ref="BH5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主要原因是自助和退保业务有所变化</t>
        </r>
      </text>
    </comment>
    <comment ref="D53" authorId="1">
      <text>
        <r>
          <rPr>
            <b/>
            <sz val="9"/>
            <color indexed="81"/>
            <rFont val="Tahoma"/>
            <family val="2"/>
          </rPr>
          <t>pe0826:</t>
        </r>
        <r>
          <rPr>
            <sz val="9"/>
            <color indexed="81"/>
            <rFont val="Tahoma"/>
            <family val="2"/>
          </rPr>
          <t xml:space="preserve">
</t>
        </r>
        <r>
          <rPr>
            <b/>
            <sz val="9"/>
            <color indexed="81"/>
            <rFont val="Tahoma"/>
            <family val="2"/>
          </rPr>
          <t xml:space="preserve">25.1-25.4 </t>
        </r>
        <r>
          <rPr>
            <b/>
            <sz val="9"/>
            <color indexed="81"/>
            <rFont val="宋体"/>
            <family val="3"/>
            <charset val="134"/>
          </rPr>
          <t>财务解释的是：数据本身不具备连贯性</t>
        </r>
      </text>
    </comment>
    <comment ref="D58" authorId="1">
      <text>
        <r>
          <rPr>
            <b/>
            <sz val="9"/>
            <color indexed="81"/>
            <rFont val="宋体"/>
            <family val="3"/>
            <charset val="134"/>
          </rPr>
          <t>26.1-26.4数据计量时点是累计四个季度。所以2017Q4是四个季度累加，2018Q1只有一个季度 2018Q2 是两个季度加总，变动幅度大为正常情况</t>
        </r>
      </text>
    </comment>
    <comment ref="AJ63" authorId="1">
      <text>
        <r>
          <rPr>
            <b/>
            <sz val="9"/>
            <color indexed="81"/>
            <rFont val="Tahoma"/>
            <family val="2"/>
          </rPr>
          <t>pe0826:</t>
        </r>
        <r>
          <rPr>
            <sz val="9"/>
            <color indexed="81"/>
            <rFont val="Tahoma"/>
            <family val="2"/>
          </rPr>
          <t xml:space="preserve">
</t>
        </r>
        <r>
          <rPr>
            <sz val="9"/>
            <color indexed="81"/>
            <rFont val="宋体"/>
            <family val="3"/>
            <charset val="134"/>
          </rPr>
          <t>主要原因是加大了质检力度，发现的问题较原来有所增多</t>
        </r>
      </text>
    </comment>
    <comment ref="AV63" authorId="1">
      <text>
        <r>
          <rPr>
            <b/>
            <sz val="9"/>
            <color indexed="81"/>
            <rFont val="Tahoma"/>
            <family val="2"/>
          </rPr>
          <t>pe0826:</t>
        </r>
        <r>
          <rPr>
            <sz val="9"/>
            <color indexed="81"/>
            <rFont val="Tahoma"/>
            <family val="2"/>
          </rPr>
          <t xml:space="preserve">
</t>
        </r>
        <r>
          <rPr>
            <sz val="9"/>
            <color indexed="81"/>
            <rFont val="宋体"/>
            <family val="3"/>
            <charset val="134"/>
          </rPr>
          <t>主要原因是加大了质检力度，发现的问题较原来有所增多</t>
        </r>
      </text>
    </comment>
    <comment ref="V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上期无，基数小</t>
        </r>
      </text>
    </comment>
    <comment ref="X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上期无，基数小</t>
        </r>
      </text>
    </comment>
    <comment ref="AN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t>
        </r>
      </text>
    </comment>
    <comment ref="AP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t>
        </r>
      </text>
    </comment>
    <comment ref="AT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AV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AZ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基数小，且加大了质检力度，发现的问题较原来有所增多</t>
        </r>
      </text>
    </comment>
    <comment ref="BB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基数小，且加大了质检力度，发现的问题较原来有所增多</t>
        </r>
      </text>
    </comment>
    <comment ref="BF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基数小，本期无</t>
        </r>
      </text>
    </comment>
    <comment ref="BH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基数小，本期无</t>
        </r>
      </text>
    </comment>
    <comment ref="BL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t>
        </r>
      </text>
    </comment>
    <comment ref="BN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本期无</t>
        </r>
      </text>
    </comment>
    <comment ref="BR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上期无、基数小</t>
        </r>
      </text>
    </comment>
    <comment ref="BT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上期无、基数小</t>
        </r>
      </text>
    </comment>
    <comment ref="BX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BZ6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AP65" authorId="1">
      <text>
        <r>
          <rPr>
            <b/>
            <sz val="9"/>
            <color indexed="81"/>
            <rFont val="Tahoma"/>
            <family val="2"/>
          </rPr>
          <t>pe0826:</t>
        </r>
        <r>
          <rPr>
            <sz val="9"/>
            <color indexed="81"/>
            <rFont val="Tahoma"/>
            <family val="2"/>
          </rPr>
          <t xml:space="preserve">
</t>
        </r>
        <r>
          <rPr>
            <sz val="9"/>
            <color indexed="81"/>
            <rFont val="宋体"/>
            <family val="3"/>
            <charset val="134"/>
          </rPr>
          <t>主要原因是满期金领取业务有所增加</t>
        </r>
      </text>
    </comment>
    <comment ref="BF6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主要原因是退保和自助业务有所变化</t>
        </r>
      </text>
    </comment>
    <comment ref="BH6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主要原因是退保和自助业务有所变化</t>
        </r>
      </text>
    </comment>
    <comment ref="AX67" authorId="1">
      <text>
        <r>
          <rPr>
            <sz val="9"/>
            <color indexed="81"/>
            <rFont val="Tahoma"/>
            <family val="2"/>
          </rPr>
          <t>2017</t>
        </r>
        <r>
          <rPr>
            <sz val="9"/>
            <color indexed="81"/>
            <rFont val="宋体"/>
            <family val="3"/>
            <charset val="134"/>
          </rPr>
          <t>年</t>
        </r>
        <r>
          <rPr>
            <sz val="9"/>
            <color indexed="81"/>
            <rFont val="Tahoma"/>
            <family val="2"/>
          </rPr>
          <t>2</t>
        </r>
        <r>
          <rPr>
            <sz val="9"/>
            <color indexed="81"/>
            <rFont val="宋体"/>
            <family val="3"/>
            <charset val="134"/>
          </rPr>
          <t>季度开展的销售管理情况自查自纠工作中，发现有销售人员在客户不知情代办退保情况，已查明并解决。</t>
        </r>
        <r>
          <rPr>
            <sz val="9"/>
            <color indexed="81"/>
            <rFont val="Tahoma"/>
            <family val="2"/>
          </rPr>
          <t xml:space="preserve">
</t>
        </r>
      </text>
    </comment>
    <comment ref="AZ6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近四个季度未发现保全管理操作风险事件</t>
        </r>
      </text>
    </comment>
    <comment ref="BB6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近四个季度未发现保全管理操作风险事件</t>
        </r>
      </text>
    </comment>
    <comment ref="O73"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除非所有风险次数均为</t>
        </r>
        <r>
          <rPr>
            <sz val="9"/>
            <color indexed="81"/>
            <rFont val="Tahoma"/>
            <family val="2"/>
          </rPr>
          <t>0</t>
        </r>
        <r>
          <rPr>
            <sz val="9"/>
            <color indexed="81"/>
            <rFont val="宋体"/>
            <family val="3"/>
            <charset val="134"/>
          </rPr>
          <t xml:space="preserve">，否则十分全扣
</t>
        </r>
      </text>
    </comment>
    <comment ref="O81"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一些分公司可以确定行业水平得满分</t>
        </r>
      </text>
    </comment>
  </commentList>
</comments>
</file>

<file path=xl/comments6.xml><?xml version="1.0" encoding="utf-8"?>
<comments xmlns="http://schemas.openxmlformats.org/spreadsheetml/2006/main">
  <authors>
    <author>徐梦薇/Mengwei Xu</author>
    <author>pe0826</author>
    <author>徐梦薇</author>
  </authors>
  <commentList>
    <comment ref="V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时效管控加强</t>
        </r>
      </text>
    </comment>
    <comment ref="X14" authorId="1">
      <text>
        <r>
          <rPr>
            <b/>
            <sz val="9"/>
            <color indexed="81"/>
            <rFont val="Tahoma"/>
            <family val="2"/>
          </rPr>
          <t>pe0826:</t>
        </r>
        <r>
          <rPr>
            <sz val="9"/>
            <color indexed="81"/>
            <rFont val="Tahoma"/>
            <family val="2"/>
          </rPr>
          <t xml:space="preserve">
</t>
        </r>
        <r>
          <rPr>
            <sz val="9"/>
            <color indexed="81"/>
            <rFont val="宋体"/>
            <family val="3"/>
            <charset val="134"/>
          </rPr>
          <t>时效管控加强</t>
        </r>
      </text>
    </comment>
    <comment ref="AB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AD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AH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加强支付时效管控</t>
        </r>
      </text>
    </comment>
    <comment ref="AJ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加强支付时效管控</t>
        </r>
      </text>
    </comment>
    <comment ref="AN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个别赔案支付失败，时效延长</t>
        </r>
      </text>
    </comment>
    <comment ref="AP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个别赔案支付失败，时效延长</t>
        </r>
      </text>
    </comment>
    <comment ref="AZ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BB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BF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BH1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个别赔案支付失败造成时效延长</t>
        </r>
      </text>
    </comment>
    <comment ref="V1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t>
        </r>
      </text>
    </comment>
    <comment ref="X15" authorId="1">
      <text>
        <r>
          <rPr>
            <b/>
            <sz val="9"/>
            <color indexed="81"/>
            <rFont val="Tahoma"/>
            <family val="2"/>
          </rPr>
          <t>pe0826:</t>
        </r>
        <r>
          <rPr>
            <sz val="9"/>
            <color indexed="81"/>
            <rFont val="Tahoma"/>
            <family val="2"/>
          </rPr>
          <t xml:space="preserve">
</t>
        </r>
        <r>
          <rPr>
            <sz val="9"/>
            <color indexed="81"/>
            <rFont val="宋体"/>
            <family val="3"/>
            <charset val="134"/>
          </rPr>
          <t>客观情况</t>
        </r>
      </text>
    </comment>
    <comment ref="BX1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BZ1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V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时效管控加强</t>
        </r>
      </text>
    </comment>
    <comment ref="X17" authorId="1">
      <text>
        <r>
          <rPr>
            <b/>
            <sz val="9"/>
            <color indexed="81"/>
            <rFont val="Tahoma"/>
            <family val="2"/>
          </rPr>
          <t>pe0826:</t>
        </r>
        <r>
          <rPr>
            <sz val="9"/>
            <color indexed="81"/>
            <rFont val="Tahoma"/>
            <family val="2"/>
          </rPr>
          <t xml:space="preserve">
</t>
        </r>
        <r>
          <rPr>
            <sz val="9"/>
            <color indexed="81"/>
            <rFont val="宋体"/>
            <family val="3"/>
            <charset val="134"/>
          </rPr>
          <t>时效管控加强</t>
        </r>
      </text>
    </comment>
    <comment ref="AH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AJ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AN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AP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AZ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加强理赔时效管控</t>
        </r>
      </text>
    </comment>
    <comment ref="BB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加强理赔时效管控</t>
        </r>
      </text>
    </comment>
    <comment ref="BF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加强理赔时效管控</t>
        </r>
      </text>
    </comment>
    <comment ref="BH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加强理赔时效管控</t>
        </r>
      </text>
    </comment>
    <comment ref="BR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BT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加强审核时效管控</t>
        </r>
      </text>
    </comment>
    <comment ref="BX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BZ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V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机构赔案增加</t>
        </r>
      </text>
    </comment>
    <comment ref="X18" authorId="1">
      <text>
        <r>
          <rPr>
            <b/>
            <sz val="9"/>
            <color indexed="81"/>
            <rFont val="Tahoma"/>
            <family val="2"/>
          </rPr>
          <t>pe0826:</t>
        </r>
        <r>
          <rPr>
            <sz val="9"/>
            <color indexed="81"/>
            <rFont val="Tahoma"/>
            <family val="2"/>
          </rPr>
          <t xml:space="preserve">
</t>
        </r>
        <r>
          <rPr>
            <sz val="9"/>
            <color indexed="81"/>
            <rFont val="宋体"/>
            <family val="3"/>
            <charset val="134"/>
          </rPr>
          <t>机构赔案增加</t>
        </r>
      </text>
    </comment>
    <comment ref="BX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BZ18"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V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t>
        </r>
      </text>
    </comment>
    <comment ref="X20" authorId="1">
      <text>
        <r>
          <rPr>
            <b/>
            <sz val="9"/>
            <color indexed="81"/>
            <rFont val="Tahoma"/>
            <family val="2"/>
          </rPr>
          <t>pe0826:</t>
        </r>
        <r>
          <rPr>
            <sz val="9"/>
            <color indexed="81"/>
            <rFont val="Tahoma"/>
            <family val="2"/>
          </rPr>
          <t xml:space="preserve">
</t>
        </r>
        <r>
          <rPr>
            <sz val="9"/>
            <color indexed="81"/>
            <rFont val="宋体"/>
            <family val="3"/>
            <charset val="134"/>
          </rPr>
          <t>客观情况</t>
        </r>
      </text>
    </comment>
    <comment ref="BX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BZ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V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机构赔案增加</t>
        </r>
      </text>
    </comment>
    <comment ref="X21" authorId="1">
      <text>
        <r>
          <rPr>
            <b/>
            <sz val="9"/>
            <color indexed="81"/>
            <rFont val="Tahoma"/>
            <family val="2"/>
          </rPr>
          <t>pe0826:</t>
        </r>
        <r>
          <rPr>
            <sz val="9"/>
            <color indexed="81"/>
            <rFont val="Tahoma"/>
            <family val="2"/>
          </rPr>
          <t xml:space="preserve">
</t>
        </r>
        <r>
          <rPr>
            <sz val="9"/>
            <color indexed="81"/>
            <rFont val="宋体"/>
            <family val="3"/>
            <charset val="134"/>
          </rPr>
          <t>机构赔案增加</t>
        </r>
      </text>
    </comment>
    <comment ref="BX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BZ2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t>
        </r>
      </text>
    </comment>
    <comment ref="AB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正常扣费，无异常
</t>
        </r>
      </text>
    </comment>
    <comment ref="AD23" authorId="1">
      <text>
        <r>
          <rPr>
            <b/>
            <sz val="9"/>
            <color indexed="81"/>
            <rFont val="Tahoma"/>
            <family val="2"/>
          </rPr>
          <t>pe0826:</t>
        </r>
        <r>
          <rPr>
            <sz val="9"/>
            <color indexed="81"/>
            <rFont val="Tahoma"/>
            <family val="2"/>
          </rPr>
          <t xml:space="preserve">
</t>
        </r>
        <r>
          <rPr>
            <sz val="9"/>
            <color indexed="81"/>
            <rFont val="宋体"/>
            <family val="3"/>
            <charset val="134"/>
          </rPr>
          <t>正常扣费，无异常</t>
        </r>
      </text>
    </comment>
    <comment ref="AH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AJ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AN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AP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AT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AV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F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H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BL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N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R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T23" authorId="1">
      <text>
        <r>
          <rPr>
            <b/>
            <sz val="9"/>
            <color indexed="81"/>
            <rFont val="Tahoma"/>
            <family val="2"/>
          </rPr>
          <t>pe0826:</t>
        </r>
        <r>
          <rPr>
            <sz val="9"/>
            <color indexed="81"/>
            <rFont val="Tahoma"/>
            <family val="2"/>
          </rPr>
          <t xml:space="preserve">
</t>
        </r>
        <r>
          <rPr>
            <sz val="9"/>
            <color indexed="81"/>
            <rFont val="宋体"/>
            <family val="3"/>
            <charset val="134"/>
          </rPr>
          <t>正常扣费，无异常</t>
        </r>
      </text>
    </comment>
    <comment ref="BX2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正常扣费，无异常</t>
        </r>
      </text>
    </comment>
    <comment ref="BZ23" authorId="1">
      <text>
        <r>
          <rPr>
            <b/>
            <sz val="9"/>
            <color indexed="81"/>
            <rFont val="Tahoma"/>
            <family val="2"/>
          </rPr>
          <t>pe0826:</t>
        </r>
        <r>
          <rPr>
            <sz val="9"/>
            <color indexed="81"/>
            <rFont val="Tahoma"/>
            <family val="2"/>
          </rPr>
          <t xml:space="preserve">
</t>
        </r>
        <r>
          <rPr>
            <sz val="9"/>
            <color indexed="81"/>
            <rFont val="宋体"/>
            <family val="3"/>
            <charset val="134"/>
          </rPr>
          <t>正常扣费，无异常</t>
        </r>
      </text>
    </comment>
    <comment ref="V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X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AB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客观情况，有大额赔付</t>
        </r>
      </text>
    </comment>
    <comment ref="AD24" authorId="1">
      <text>
        <r>
          <rPr>
            <b/>
            <sz val="9"/>
            <color indexed="81"/>
            <rFont val="Tahoma"/>
            <family val="2"/>
          </rPr>
          <t>pe0826:</t>
        </r>
        <r>
          <rPr>
            <sz val="9"/>
            <color indexed="81"/>
            <rFont val="Tahoma"/>
            <family val="2"/>
          </rPr>
          <t xml:space="preserve">
</t>
        </r>
        <r>
          <rPr>
            <sz val="9"/>
            <color indexed="81"/>
            <rFont val="宋体"/>
            <family val="3"/>
            <charset val="134"/>
          </rPr>
          <t>客观情况，有大额赔付</t>
        </r>
      </text>
    </comment>
    <comment ref="AH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正常扣费，有大额案件
</t>
        </r>
      </text>
    </comment>
    <comment ref="AJ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正常扣费，有大额案件</t>
        </r>
      </text>
    </comment>
    <comment ref="AZ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BB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BF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BH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客观情况，有大额案件</t>
        </r>
      </text>
    </comment>
    <comment ref="BR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有大额赔案</t>
        </r>
      </text>
    </comment>
    <comment ref="BT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有大额赔案</t>
        </r>
      </text>
    </comment>
    <comment ref="BX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正常赔案增加，有大额赔案</t>
        </r>
      </text>
    </comment>
    <comment ref="BZ24"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正常赔案增加，有大额赔案</t>
        </r>
      </text>
    </comment>
    <comment ref="O38" authorId="2">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除非所有风险次数均为</t>
        </r>
        <r>
          <rPr>
            <sz val="9"/>
            <color indexed="81"/>
            <rFont val="Tahoma"/>
            <family val="2"/>
          </rPr>
          <t>0</t>
        </r>
        <r>
          <rPr>
            <sz val="9"/>
            <color indexed="81"/>
            <rFont val="宋体"/>
            <family val="3"/>
            <charset val="134"/>
          </rPr>
          <t xml:space="preserve">，否则十分全扣
</t>
        </r>
      </text>
    </comment>
  </commentList>
</comments>
</file>

<file path=xl/comments7.xml><?xml version="1.0" encoding="utf-8"?>
<comments xmlns="http://schemas.openxmlformats.org/spreadsheetml/2006/main">
  <authors>
    <author>徐梦薇/Mengwei Xu</author>
    <author>pe0826</author>
    <author>徐梦薇</author>
  </authors>
  <commentList>
    <comment ref="BH5"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基数小
</t>
        </r>
      </text>
    </comment>
    <comment ref="X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无人离职</t>
        </r>
      </text>
    </comment>
    <comment ref="BH6"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X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BH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基数小</t>
        </r>
      </text>
    </comment>
    <comment ref="D9" authorId="0">
      <text>
        <r>
          <rPr>
            <b/>
            <sz val="9"/>
            <color indexed="81"/>
            <rFont val="宋体"/>
            <family val="3"/>
            <charset val="134"/>
          </rPr>
          <t>徐梦薇</t>
        </r>
        <r>
          <rPr>
            <b/>
            <sz val="9"/>
            <color indexed="81"/>
            <rFont val="Tahoma"/>
            <family val="2"/>
          </rPr>
          <t xml:space="preserve">/Mengwei Xu: </t>
        </r>
        <r>
          <rPr>
            <sz val="9"/>
            <color indexed="81"/>
            <rFont val="宋体"/>
            <family val="3"/>
            <charset val="134"/>
          </rPr>
          <t>如果二期征求意见可以提</t>
        </r>
      </text>
    </comment>
    <comment ref="AH1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王帅</t>
        </r>
        <r>
          <rPr>
            <sz val="9"/>
            <color indexed="81"/>
            <rFont val="Tahoma"/>
            <family val="2"/>
          </rPr>
          <t>2018.6</t>
        </r>
        <r>
          <rPr>
            <sz val="9"/>
            <color indexed="81"/>
            <rFont val="宋体"/>
            <family val="3"/>
            <charset val="134"/>
          </rPr>
          <t>取得初级职称</t>
        </r>
      </text>
    </comment>
    <comment ref="AF17" authorId="1">
      <text>
        <r>
          <rPr>
            <b/>
            <sz val="9"/>
            <color indexed="81"/>
            <rFont val="Tahoma"/>
            <family val="2"/>
          </rPr>
          <t>pe0826:</t>
        </r>
        <r>
          <rPr>
            <b/>
            <sz val="9"/>
            <color indexed="81"/>
            <rFont val="宋体"/>
            <family val="3"/>
            <charset val="134"/>
          </rPr>
          <t>内审发现</t>
        </r>
        <r>
          <rPr>
            <b/>
            <sz val="9"/>
            <color indexed="81"/>
            <rFont val="Tahoma"/>
            <family val="2"/>
          </rPr>
          <t>,</t>
        </r>
        <r>
          <rPr>
            <b/>
            <sz val="9"/>
            <color indexed="81"/>
            <rFont val="宋体"/>
            <family val="3"/>
            <charset val="134"/>
          </rPr>
          <t>仅影响</t>
        </r>
        <r>
          <rPr>
            <b/>
            <sz val="9"/>
            <color indexed="81"/>
            <rFont val="Tahoma"/>
            <family val="2"/>
          </rPr>
          <t>Q1</t>
        </r>
        <r>
          <rPr>
            <b/>
            <sz val="9"/>
            <color indexed="81"/>
            <rFont val="宋体"/>
            <family val="3"/>
            <charset val="134"/>
          </rPr>
          <t>数据</t>
        </r>
      </text>
    </comment>
    <comment ref="AH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已过期</t>
        </r>
      </text>
    </comment>
    <comment ref="AJ1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事件过期</t>
        </r>
      </text>
    </comment>
    <comment ref="BM3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特殊
</t>
        </r>
      </text>
    </comment>
    <comment ref="BQ3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特殊</t>
        </r>
      </text>
    </comment>
    <comment ref="BS32"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特殊
</t>
        </r>
      </text>
    </comment>
    <comment ref="Z36" authorId="1">
      <text>
        <r>
          <rPr>
            <b/>
            <sz val="9"/>
            <color indexed="81"/>
            <rFont val="宋体"/>
            <family val="3"/>
            <charset val="134"/>
          </rPr>
          <t>未达账项超过三个月</t>
        </r>
      </text>
    </comment>
    <comment ref="AB36" authorId="1">
      <text>
        <r>
          <rPr>
            <b/>
            <sz val="9"/>
            <color indexed="81"/>
            <rFont val="宋体"/>
            <family val="3"/>
            <charset val="134"/>
          </rPr>
          <t>未达账项超过三个月</t>
        </r>
      </text>
    </comment>
    <comment ref="D38" authorId="0">
      <text>
        <r>
          <rPr>
            <b/>
            <sz val="9"/>
            <color indexed="81"/>
            <rFont val="宋体"/>
            <family val="3"/>
            <charset val="134"/>
          </rPr>
          <t>徐梦薇</t>
        </r>
        <r>
          <rPr>
            <b/>
            <sz val="9"/>
            <color indexed="81"/>
            <rFont val="Tahoma"/>
            <family val="2"/>
          </rPr>
          <t>/Mengwei Xu:</t>
        </r>
        <r>
          <rPr>
            <sz val="9"/>
            <color indexed="81"/>
            <rFont val="Tahoma"/>
            <family val="2"/>
          </rPr>
          <t xml:space="preserve">
2018Q3</t>
        </r>
        <r>
          <rPr>
            <sz val="9"/>
            <color indexed="81"/>
            <rFont val="宋体"/>
            <family val="3"/>
            <charset val="134"/>
          </rPr>
          <t>大连银保将会有事件扣分</t>
        </r>
      </text>
    </comment>
    <comment ref="AX39" authorId="1">
      <text>
        <r>
          <rPr>
            <b/>
            <sz val="9"/>
            <color indexed="81"/>
            <rFont val="Tahoma"/>
            <family val="2"/>
          </rPr>
          <t>pe0826:</t>
        </r>
        <r>
          <rPr>
            <sz val="9"/>
            <color indexed="81"/>
            <rFont val="Tahoma"/>
            <family val="2"/>
          </rPr>
          <t xml:space="preserve">
</t>
        </r>
        <r>
          <rPr>
            <sz val="9"/>
            <color indexed="81"/>
            <rFont val="宋体"/>
            <family val="3"/>
            <charset val="134"/>
          </rPr>
          <t>山东分公司银保费用不合规费用问题，直接上报当地保监会，公司已经问责</t>
        </r>
      </text>
    </comment>
    <comment ref="AZ39" authorId="1">
      <text>
        <r>
          <rPr>
            <b/>
            <sz val="9"/>
            <color indexed="81"/>
            <rFont val="Tahoma"/>
            <family val="2"/>
          </rPr>
          <t>pe0826:</t>
        </r>
        <r>
          <rPr>
            <sz val="9"/>
            <color indexed="81"/>
            <rFont val="Tahoma"/>
            <family val="2"/>
          </rPr>
          <t xml:space="preserve">
</t>
        </r>
        <r>
          <rPr>
            <sz val="9"/>
            <color indexed="81"/>
            <rFont val="宋体"/>
            <family val="3"/>
            <charset val="134"/>
          </rPr>
          <t>山东分公司银保费用不合规费用问题，直接上报当地保监会，公司已经问责</t>
        </r>
      </text>
    </comment>
    <comment ref="O62" authorId="2">
      <text>
        <r>
          <rPr>
            <b/>
            <sz val="9"/>
            <color indexed="81"/>
            <rFont val="宋体"/>
            <family val="3"/>
            <charset val="134"/>
          </rPr>
          <t>徐梦薇</t>
        </r>
        <r>
          <rPr>
            <b/>
            <sz val="9"/>
            <color indexed="81"/>
            <rFont val="Tahoma"/>
            <family val="2"/>
          </rPr>
          <t xml:space="preserve">:
</t>
        </r>
        <r>
          <rPr>
            <b/>
            <sz val="9"/>
            <color indexed="81"/>
            <rFont val="宋体"/>
            <family val="3"/>
            <charset val="134"/>
          </rPr>
          <t xml:space="preserve">一些分公司在行业水平中可以确定得到满分
</t>
        </r>
      </text>
    </comment>
  </commentList>
</comments>
</file>

<file path=xl/comments8.xml><?xml version="1.0" encoding="utf-8"?>
<comments xmlns="http://schemas.openxmlformats.org/spreadsheetml/2006/main">
  <authors>
    <author>pe0826</author>
    <author>徐梦薇/Mengwei Xu</author>
    <author>刘辉</author>
    <author>徐梦薇</author>
  </authors>
  <commentList>
    <comment ref="Q4" authorId="0">
      <text>
        <r>
          <rPr>
            <b/>
            <sz val="9"/>
            <color indexed="81"/>
            <rFont val="宋体"/>
            <family val="3"/>
            <charset val="134"/>
          </rPr>
          <t>个险数据变化造成总数据变动幅度较大。</t>
        </r>
      </text>
    </comment>
    <comment ref="K5" authorId="1">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个险数据变化造成总数据变动幅度较大。</t>
        </r>
      </text>
    </comment>
    <comment ref="Q17" authorId="0">
      <text>
        <r>
          <rPr>
            <b/>
            <sz val="9"/>
            <color indexed="81"/>
            <rFont val="宋体"/>
            <family val="3"/>
            <charset val="134"/>
          </rPr>
          <t>承保量有变化</t>
        </r>
      </text>
    </comment>
    <comment ref="Q18" authorId="0">
      <text>
        <r>
          <rPr>
            <b/>
            <sz val="9"/>
            <color indexed="81"/>
            <rFont val="宋体"/>
            <family val="3"/>
            <charset val="134"/>
          </rPr>
          <t>承保量有变化</t>
        </r>
      </text>
    </comment>
    <comment ref="Q20" authorId="0">
      <text>
        <r>
          <rPr>
            <b/>
            <sz val="9"/>
            <color indexed="81"/>
            <rFont val="宋体"/>
            <family val="3"/>
            <charset val="134"/>
          </rPr>
          <t>本期客户地址不全，客户地址留存至某小区某号楼但缺乏具体门牌号码的地址数量较上一季度增多，将追踪各渠道陆续补正。</t>
        </r>
      </text>
    </comment>
    <comment ref="J22" authorId="2">
      <text>
        <r>
          <rPr>
            <sz val="9"/>
            <color indexed="81"/>
            <rFont val="宋体"/>
            <family val="3"/>
            <charset val="134"/>
          </rPr>
          <t>1.辽宁17Q2有私自打印材料问题（恒安标准辽分司字[2017]38号辽宁分公司关于开展保险产品销售管理情况自查自纠工作的报告）个险上报
2.山东17Q2销售管理情况自查自纠中发现私印宣传材料（涉及分公司数据，追随于Q2山东分公司上报）
3.18Q1公司在对营销员微信群和朋友圈监控中发现辽宁丹东中心支公司业务员在朋友圈传播一份伪造的公司核保规则类的通知文件。个险上报
4.上18Q1江苏分公司个别人员存在私自印制展业宣传资料的违规行为。个险上报
5.18Q1江苏苏州、徐州、泰州机构个别培训课件中存在“存”、“理财”、“返本”等违规的销售误导字眼。个险上报
6&amp;7 18Q1山东&amp;河南有私印宣传，来源于分公司OR04表</t>
        </r>
      </text>
    </comment>
    <comment ref="K22" authorId="2">
      <text>
        <r>
          <rPr>
            <sz val="9"/>
            <color indexed="81"/>
            <rFont val="宋体"/>
            <family val="3"/>
            <charset val="134"/>
          </rPr>
          <t>1.18Q1公司在对营销员微信群和朋友圈监控中发现辽宁丹东中心支公司业务员在朋友圈传播一份伪造的公司核保规则类的通知文件。个险上报
2.18Q1江苏分公司个别人员存在私自印制展业宣传资料的违规行为。个险上报
3.18Q1江苏苏州、徐州、泰州机构个别培训课件中存在“存”、“理财”、“返本”等违规的销售误导字眼。个险上报
4&amp;5 18Q1山东&amp;河南有私印宣传，来源于分公司OR04表
6.18Q2江苏分公司南京、扬州、盐城机构个别内部培训课件中存在“存”、“理财”、“返本”等违规的销售误导字眼。个险上报
7.18Q2大连有私印宣传材料，来源于分公司OR04表</t>
        </r>
      </text>
    </comment>
    <comment ref="L22" authorId="2">
      <text>
        <r>
          <rPr>
            <b/>
            <sz val="9"/>
            <color indexed="81"/>
            <rFont val="宋体"/>
            <family val="3"/>
            <charset val="134"/>
          </rPr>
          <t xml:space="preserve">
总公司个险渠道上报</t>
        </r>
        <r>
          <rPr>
            <b/>
            <sz val="9"/>
            <color indexed="81"/>
            <rFont val="Tahoma"/>
            <family val="2"/>
          </rPr>
          <t xml:space="preserve"> 
1</t>
        </r>
        <r>
          <rPr>
            <b/>
            <sz val="9"/>
            <color indexed="81"/>
            <rFont val="宋体"/>
            <family val="3"/>
            <charset val="134"/>
          </rPr>
          <t>）恒安标准辽分司字</t>
        </r>
        <r>
          <rPr>
            <b/>
            <sz val="9"/>
            <color indexed="81"/>
            <rFont val="Tahoma"/>
            <family val="2"/>
          </rPr>
          <t>[2017]38</t>
        </r>
        <r>
          <rPr>
            <b/>
            <sz val="9"/>
            <color indexed="81"/>
            <rFont val="宋体"/>
            <family val="3"/>
            <charset val="134"/>
          </rPr>
          <t xml:space="preserve">号辽宁分公司关于开展保险产品销售管理情况自查自纠工作的报告
</t>
        </r>
        <r>
          <rPr>
            <b/>
            <sz val="9"/>
            <color indexed="81"/>
            <rFont val="Tahoma"/>
            <family val="2"/>
          </rPr>
          <t>2</t>
        </r>
        <r>
          <rPr>
            <b/>
            <sz val="9"/>
            <color indexed="81"/>
            <rFont val="宋体"/>
            <family val="3"/>
            <charset val="134"/>
          </rPr>
          <t xml:space="preserve">）公司在对营销员微信群和朋友圈监控中发现辽宁丹东中心支公司业务员在朋友圈传播一份伪造的公司核保规则类的通知文件
</t>
        </r>
        <r>
          <rPr>
            <b/>
            <sz val="9"/>
            <color indexed="81"/>
            <rFont val="Tahoma"/>
            <family val="2"/>
          </rPr>
          <t>3</t>
        </r>
        <r>
          <rPr>
            <b/>
            <sz val="9"/>
            <color indexed="81"/>
            <rFont val="宋体"/>
            <family val="3"/>
            <charset val="134"/>
          </rPr>
          <t xml:space="preserve">）江苏分公司个别人员存在私自印制展业宣传资料的违规行为。
</t>
        </r>
        <r>
          <rPr>
            <b/>
            <sz val="9"/>
            <color indexed="81"/>
            <rFont val="Tahoma"/>
            <family val="2"/>
          </rPr>
          <t>4</t>
        </r>
        <r>
          <rPr>
            <b/>
            <sz val="9"/>
            <color indexed="81"/>
            <rFont val="宋体"/>
            <family val="3"/>
            <charset val="134"/>
          </rPr>
          <t xml:space="preserve">）江苏苏州、徐州、泰州机构个别培训课件中存在“存”、“理财”、“返本”等违规的销售误导字眼。
填写数据中发现：
</t>
        </r>
        <r>
          <rPr>
            <b/>
            <sz val="9"/>
            <color indexed="81"/>
            <rFont val="Tahoma"/>
            <family val="2"/>
          </rPr>
          <t>18Q1 2</t>
        </r>
        <r>
          <rPr>
            <b/>
            <sz val="9"/>
            <color indexed="81"/>
            <rFont val="宋体"/>
            <family val="3"/>
            <charset val="134"/>
          </rPr>
          <t>件</t>
        </r>
        <r>
          <rPr>
            <b/>
            <sz val="9"/>
            <color indexed="81"/>
            <rFont val="Tahoma"/>
            <family val="2"/>
          </rPr>
          <t xml:space="preserve"> 18Q21</t>
        </r>
        <r>
          <rPr>
            <b/>
            <sz val="9"/>
            <color indexed="81"/>
            <rFont val="宋体"/>
            <family val="3"/>
            <charset val="134"/>
          </rPr>
          <t xml:space="preserve">件
</t>
        </r>
      </text>
    </comment>
    <comment ref="K27" authorId="3">
      <text>
        <r>
          <rPr>
            <b/>
            <sz val="9"/>
            <color indexed="81"/>
            <rFont val="宋体"/>
            <family val="3"/>
            <charset val="134"/>
          </rPr>
          <t>徐梦薇</t>
        </r>
        <r>
          <rPr>
            <b/>
            <sz val="9"/>
            <color indexed="81"/>
            <rFont val="Tahoma"/>
            <family val="2"/>
          </rPr>
          <t>:</t>
        </r>
        <r>
          <rPr>
            <sz val="9"/>
            <color indexed="81"/>
            <rFont val="Tahoma"/>
            <family val="2"/>
          </rPr>
          <t xml:space="preserve">
2018</t>
        </r>
        <r>
          <rPr>
            <sz val="9"/>
            <color indexed="81"/>
            <rFont val="宋体"/>
            <family val="3"/>
            <charset val="134"/>
          </rPr>
          <t>年度非法集资排查中，山东上报</t>
        </r>
      </text>
    </comment>
    <comment ref="J36" authorId="0">
      <text>
        <r>
          <rPr>
            <b/>
            <sz val="9"/>
            <color indexed="81"/>
            <rFont val="宋体"/>
            <family val="3"/>
            <charset val="134"/>
          </rPr>
          <t>领</t>
        </r>
        <r>
          <rPr>
            <b/>
            <sz val="9"/>
            <color indexed="81"/>
            <rFont val="Tahoma"/>
            <family val="2"/>
          </rPr>
          <t>D</t>
        </r>
        <r>
          <rPr>
            <b/>
            <sz val="9"/>
            <color indexed="81"/>
            <rFont val="宋体"/>
            <family val="3"/>
            <charset val="134"/>
          </rPr>
          <t>投诉增多</t>
        </r>
      </text>
    </comment>
    <comment ref="K36" authorId="0">
      <text>
        <r>
          <rPr>
            <b/>
            <sz val="9"/>
            <color indexed="81"/>
            <rFont val="宋体"/>
            <family val="3"/>
            <charset val="134"/>
          </rPr>
          <t>领</t>
        </r>
        <r>
          <rPr>
            <b/>
            <sz val="9"/>
            <color indexed="81"/>
            <rFont val="Tahoma"/>
            <family val="2"/>
          </rPr>
          <t>D</t>
        </r>
        <r>
          <rPr>
            <b/>
            <sz val="9"/>
            <color indexed="81"/>
            <rFont val="宋体"/>
            <family val="3"/>
            <charset val="134"/>
          </rPr>
          <t>投诉增多</t>
        </r>
      </text>
    </comment>
    <comment ref="U36" authorId="3">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除非投诉次数为</t>
        </r>
        <r>
          <rPr>
            <sz val="9"/>
            <color indexed="81"/>
            <rFont val="Tahoma"/>
            <family val="2"/>
          </rPr>
          <t>0</t>
        </r>
        <r>
          <rPr>
            <sz val="9"/>
            <color indexed="81"/>
            <rFont val="宋体"/>
            <family val="3"/>
            <charset val="134"/>
          </rPr>
          <t>，否则</t>
        </r>
        <r>
          <rPr>
            <sz val="9"/>
            <color indexed="81"/>
            <rFont val="Tahoma"/>
            <family val="2"/>
          </rPr>
          <t>10</t>
        </r>
        <r>
          <rPr>
            <sz val="9"/>
            <color indexed="81"/>
            <rFont val="宋体"/>
            <family val="3"/>
            <charset val="134"/>
          </rPr>
          <t xml:space="preserve">分全扣
</t>
        </r>
      </text>
    </comment>
    <comment ref="D40" authorId="3">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自填</t>
        </r>
      </text>
    </comment>
    <comment ref="D41" authorId="3">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自填</t>
        </r>
      </text>
    </comment>
    <comment ref="D42" authorId="0">
      <text>
        <r>
          <rPr>
            <sz val="9"/>
            <color indexed="81"/>
            <rFont val="宋体"/>
            <family val="3"/>
            <charset val="134"/>
          </rPr>
          <t>自填</t>
        </r>
        <r>
          <rPr>
            <sz val="9"/>
            <color indexed="81"/>
            <rFont val="Tahoma"/>
            <family val="2"/>
          </rPr>
          <t xml:space="preserve">
</t>
        </r>
      </text>
    </comment>
  </commentList>
</comments>
</file>

<file path=xl/comments9.xml><?xml version="1.0" encoding="utf-8"?>
<comments xmlns="http://schemas.openxmlformats.org/spreadsheetml/2006/main">
  <authors>
    <author>徐梦薇/Mengwei Xu</author>
    <author>pe0826</author>
    <author>刘辉</author>
    <author>徐梦薇</author>
  </authors>
  <commentList>
    <comment ref="L11"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 xml:space="preserve">复杂赔案相对减少，加快审核时效控制
</t>
        </r>
      </text>
    </comment>
    <comment ref="K13"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分母</t>
        </r>
        <r>
          <rPr>
            <sz val="9"/>
            <color indexed="81"/>
            <rFont val="Tahoma"/>
            <family val="2"/>
          </rPr>
          <t xml:space="preserve">  3719.97303   </t>
        </r>
        <r>
          <rPr>
            <sz val="9"/>
            <color indexed="81"/>
            <rFont val="宋体"/>
            <family val="3"/>
            <charset val="134"/>
          </rPr>
          <t>分子</t>
        </r>
        <r>
          <rPr>
            <sz val="9"/>
            <color indexed="81"/>
            <rFont val="Tahoma"/>
            <family val="2"/>
          </rPr>
          <t xml:space="preserve">  22057</t>
        </r>
      </text>
    </comment>
    <comment ref="L14" authorId="1">
      <text>
        <r>
          <rPr>
            <sz val="9"/>
            <color indexed="81"/>
            <rFont val="宋体"/>
            <family val="3"/>
            <charset val="134"/>
          </rPr>
          <t>受理后未及时录入，或审批完成后未及时结案</t>
        </r>
      </text>
    </comment>
    <comment ref="J19" authorId="1">
      <text>
        <r>
          <rPr>
            <b/>
            <sz val="9"/>
            <color indexed="81"/>
            <rFont val="宋体"/>
            <family val="3"/>
            <charset val="134"/>
          </rPr>
          <t>1、 李春贵诉恒安标准人寿保险有限公司退保纠纷案件
2、 曲春凤诉恒安标准人寿保险有限公司青岛分公司理赔纠纷案件
3、丁一、丁建华诉恒安标准人寿保险有限公司江苏分公司南通中心支公司理赔纠纷案件
4、李万影诉恒安标准人寿保险有限公司天津分公司理赔纠纷案件                               
5、郭淑娟诉恒安标准人寿保险有限公司辽宁分公司理赔纠纷案件                                   
6、邢嘉旭诉恒安标准人寿保险有限公司辽宁分公司营口营销服务部理赔纠纷案件                    
7、高玉平诉恒安标准人寿保险股份有限公司山东分公司理赔纠纷案件                                
8、高照东诉恒安标准人寿保险有限公司天津分公司退保纠纷案件
9、李淑燕诉恒安标准人寿保险有限公司青岛分公司理赔纠纷案件        
10、苏华建设集团有限公司诉恒安标准人寿保险有限公司江苏分公司理赔纠纷案件                                   
11、周秀文诉恒安标准人寿保险有限公司辽宁分公司理赔纠纷案件</t>
        </r>
      </text>
    </comment>
    <comment ref="K19" authorId="1">
      <text>
        <r>
          <rPr>
            <b/>
            <sz val="9"/>
            <color indexed="81"/>
            <rFont val="宋体"/>
            <family val="3"/>
            <charset val="134"/>
          </rPr>
          <t xml:space="preserve">1、丁一、丁建华诉恒安标准人寿保险有限公司江苏分公司南通中心支公司理赔纠纷案件 
2、李万影诉恒安标准人寿保险有限公司天津分公司理赔纠纷案件                             
3、郭淑娟诉恒安标准人寿保险有限公司辽宁分公司理赔纠纷案件                              
4、邢嘉旭诉恒安标准人寿保险有限公司辽宁分公司营口营销服务部理赔纠纷案件                 
5、高玉平诉恒安标准人寿保险股份有限公司山东分公司理赔纠纷案件                               
6、李淑燕、曲春凤诉恒安标准人寿保险有限公司青岛分公司理赔纠纷案件        
7、苏华建设集团有限公司诉恒安标准人寿保险有限公司江苏分公司理赔纠纷案件                                  
8、周秀文诉恒安标准人寿保险有限公司辽宁分公司理赔纠纷案件         
9、张景霞诉恒安标准人寿保险有限公司河南分公司理赔纠纷案件
</t>
        </r>
      </text>
    </comment>
    <comment ref="J20" authorId="2">
      <text>
        <r>
          <rPr>
            <b/>
            <sz val="9"/>
            <color indexed="81"/>
            <rFont val="宋体"/>
            <family val="3"/>
            <charset val="134"/>
          </rPr>
          <t>新增：</t>
        </r>
        <r>
          <rPr>
            <sz val="9"/>
            <color indexed="81"/>
            <rFont val="宋体"/>
            <family val="3"/>
            <charset val="134"/>
          </rPr>
          <t>赵玉梅诉辽宁琛德保险代理有限公司理赔纠纷案件</t>
        </r>
      </text>
    </comment>
    <comment ref="K20"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已过期</t>
        </r>
      </text>
    </comment>
    <comment ref="D24" authorId="3">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 xml:space="preserve">自填
</t>
        </r>
      </text>
    </comment>
    <comment ref="D25" authorId="3">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自填</t>
        </r>
      </text>
    </comment>
  </commentList>
</comments>
</file>

<file path=xl/comments10.xml><?xml version="1.0" encoding="utf-8"?>
<comments xmlns="http://schemas.openxmlformats.org/spreadsheetml/2006/main">
  <authors>
    <author>徐梦薇/Mengwei Xu</author>
  </authors>
  <commentList>
    <comment ref="N36" authorId="0">
      <text>
        <r>
          <rPr>
            <b/>
            <sz val="9"/>
            <color indexed="81"/>
            <rFont val="宋体"/>
            <family val="3"/>
            <charset val="134"/>
          </rPr>
          <t>徐梦薇</t>
        </r>
        <r>
          <rPr>
            <b/>
            <sz val="9"/>
            <color indexed="81"/>
            <rFont val="Tahoma"/>
            <family val="2"/>
          </rPr>
          <t>/Mengwei Xu:</t>
        </r>
        <r>
          <rPr>
            <sz val="9"/>
            <color indexed="81"/>
            <rFont val="Tahoma"/>
            <family val="2"/>
          </rPr>
          <t xml:space="preserve">
0.0003%</t>
        </r>
      </text>
    </comment>
    <comment ref="N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已与财务沟通，因为</t>
        </r>
        <r>
          <rPr>
            <sz val="9"/>
            <color indexed="81"/>
            <rFont val="Tahoma"/>
            <family val="2"/>
          </rPr>
          <t>lifeAsia</t>
        </r>
        <r>
          <rPr>
            <sz val="9"/>
            <color indexed="81"/>
            <rFont val="宋体"/>
            <family val="3"/>
            <charset val="134"/>
          </rPr>
          <t>系统</t>
        </r>
        <r>
          <rPr>
            <sz val="9"/>
            <color indexed="81"/>
            <rFont val="宋体"/>
            <family val="3"/>
            <charset val="134"/>
          </rPr>
          <t>原因造成的出账错误</t>
        </r>
      </text>
    </comment>
    <comment ref="O37" authorId="0">
      <text>
        <r>
          <rPr>
            <b/>
            <sz val="9"/>
            <color indexed="81"/>
            <rFont val="宋体"/>
            <family val="3"/>
            <charset val="134"/>
          </rPr>
          <t>徐梦薇</t>
        </r>
        <r>
          <rPr>
            <b/>
            <sz val="9"/>
            <color indexed="81"/>
            <rFont val="Tahoma"/>
            <family val="2"/>
          </rPr>
          <t>/Mengwei Xu:</t>
        </r>
        <r>
          <rPr>
            <sz val="9"/>
            <color indexed="81"/>
            <rFont val="Tahoma"/>
            <family val="2"/>
          </rPr>
          <t xml:space="preserve">
</t>
        </r>
        <r>
          <rPr>
            <sz val="9"/>
            <color indexed="81"/>
            <rFont val="宋体"/>
            <family val="3"/>
            <charset val="134"/>
          </rPr>
          <t>基数大</t>
        </r>
      </text>
    </comment>
  </commentList>
</comments>
</file>

<file path=xl/comments11.xml><?xml version="1.0" encoding="utf-8"?>
<comments xmlns="http://schemas.openxmlformats.org/spreadsheetml/2006/main">
  <authors>
    <author>徐梦薇/Mengwei Xu</author>
  </authors>
  <commentList>
    <comment ref="D8" authorId="0">
      <text>
        <r>
          <rPr>
            <b/>
            <sz val="9"/>
            <color indexed="81"/>
            <rFont val="宋体"/>
            <family val="3"/>
            <charset val="134"/>
          </rPr>
          <t>徐梦薇</t>
        </r>
        <r>
          <rPr>
            <b/>
            <sz val="9"/>
            <color indexed="81"/>
            <rFont val="Tahoma"/>
            <family val="2"/>
          </rPr>
          <t>/Mengwei Xu:</t>
        </r>
        <r>
          <rPr>
            <sz val="9"/>
            <color indexed="81"/>
            <rFont val="Tahoma"/>
            <family val="2"/>
          </rPr>
          <t xml:space="preserve">
2019 Q1</t>
        </r>
        <r>
          <rPr>
            <sz val="9"/>
            <color indexed="81"/>
            <rFont val="宋体"/>
            <family val="3"/>
            <charset val="134"/>
          </rPr>
          <t>过期</t>
        </r>
      </text>
    </comment>
    <comment ref="K13" authorId="0">
      <text>
        <r>
          <rPr>
            <b/>
            <sz val="9"/>
            <color indexed="81"/>
            <rFont val="宋体"/>
            <family val="3"/>
            <charset val="134"/>
          </rPr>
          <t>徐梦薇</t>
        </r>
        <r>
          <rPr>
            <b/>
            <sz val="9"/>
            <color indexed="81"/>
            <rFont val="Tahoma"/>
            <family val="2"/>
          </rPr>
          <t>/Mengwei Xu:</t>
        </r>
        <r>
          <rPr>
            <sz val="9"/>
            <color indexed="81"/>
            <rFont val="Tahoma"/>
            <family val="2"/>
          </rPr>
          <t xml:space="preserve">
17Q2</t>
        </r>
        <r>
          <rPr>
            <sz val="9"/>
            <color indexed="81"/>
            <rFont val="宋体"/>
            <family val="3"/>
            <charset val="134"/>
          </rPr>
          <t>已过期</t>
        </r>
      </text>
    </comment>
  </commentList>
</comments>
</file>

<file path=xl/comments12.xml><?xml version="1.0" encoding="utf-8"?>
<comments xmlns="http://schemas.openxmlformats.org/spreadsheetml/2006/main">
  <authors>
    <author>pe0826</author>
    <author>徐梦薇</author>
  </authors>
  <commentList>
    <comment ref="I4" authorId="0">
      <text>
        <r>
          <rPr>
            <b/>
            <sz val="9"/>
            <color indexed="81"/>
            <rFont val="宋体"/>
            <family val="2"/>
            <charset val="134"/>
          </rPr>
          <t>《大河报》</t>
        </r>
        <r>
          <rPr>
            <b/>
            <sz val="9"/>
            <color indexed="81"/>
            <rFont val="Tahoma"/>
            <family val="2"/>
          </rPr>
          <t>2</t>
        </r>
        <r>
          <rPr>
            <b/>
            <sz val="9"/>
            <color indexed="81"/>
            <rFont val="宋体"/>
            <family val="2"/>
            <charset val="134"/>
          </rPr>
          <t>月</t>
        </r>
        <r>
          <rPr>
            <b/>
            <sz val="9"/>
            <color indexed="81"/>
            <rFont val="Tahoma"/>
            <family val="2"/>
          </rPr>
          <t>1</t>
        </r>
        <r>
          <rPr>
            <b/>
            <sz val="9"/>
            <color indexed="81"/>
            <rFont val="宋体"/>
            <family val="2"/>
            <charset val="134"/>
          </rPr>
          <t>日</t>
        </r>
        <r>
          <rPr>
            <b/>
            <sz val="9"/>
            <color indexed="81"/>
            <rFont val="Tahoma"/>
            <family val="2"/>
          </rPr>
          <t>“</t>
        </r>
        <r>
          <rPr>
            <b/>
            <sz val="9"/>
            <color indexed="81"/>
            <rFont val="宋体"/>
            <family val="2"/>
            <charset val="134"/>
          </rPr>
          <t>贷款没办成保险先来一份</t>
        </r>
        <r>
          <rPr>
            <b/>
            <sz val="9"/>
            <color indexed="81"/>
            <rFont val="Tahoma"/>
            <family val="2"/>
          </rPr>
          <t xml:space="preserve"> </t>
        </r>
        <r>
          <rPr>
            <b/>
            <sz val="9"/>
            <color indexed="81"/>
            <rFont val="宋体"/>
            <family val="2"/>
            <charset val="134"/>
          </rPr>
          <t>河南保监局介入调查</t>
        </r>
        <r>
          <rPr>
            <b/>
            <sz val="9"/>
            <color indexed="81"/>
            <rFont val="Tahoma"/>
            <family val="2"/>
          </rPr>
          <t>”</t>
        </r>
        <r>
          <rPr>
            <b/>
            <sz val="9"/>
            <color indexed="81"/>
            <rFont val="宋体"/>
            <family val="2"/>
            <charset val="134"/>
          </rPr>
          <t>报道中涉及公司相关信息</t>
        </r>
      </text>
    </comment>
    <comment ref="L4" authorId="1">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 xml:space="preserve">手填
</t>
        </r>
      </text>
    </comment>
    <comment ref="L20" authorId="1">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手填</t>
        </r>
      </text>
    </comment>
    <comment ref="M20" authorId="1">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手填</t>
        </r>
      </text>
    </comment>
    <comment ref="L21" authorId="1">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手填</t>
        </r>
      </text>
    </comment>
    <comment ref="M21" authorId="1">
      <text>
        <r>
          <rPr>
            <b/>
            <sz val="9"/>
            <color indexed="81"/>
            <rFont val="宋体"/>
            <family val="3"/>
            <charset val="134"/>
          </rPr>
          <t>徐梦薇</t>
        </r>
        <r>
          <rPr>
            <b/>
            <sz val="9"/>
            <color indexed="81"/>
            <rFont val="Tahoma"/>
            <family val="2"/>
          </rPr>
          <t>:</t>
        </r>
        <r>
          <rPr>
            <sz val="9"/>
            <color indexed="81"/>
            <rFont val="Tahoma"/>
            <family val="2"/>
          </rPr>
          <t xml:space="preserve">
</t>
        </r>
        <r>
          <rPr>
            <sz val="9"/>
            <color indexed="81"/>
            <rFont val="宋体"/>
            <family val="3"/>
            <charset val="134"/>
          </rPr>
          <t>手填</t>
        </r>
      </text>
    </comment>
  </commentList>
</comments>
</file>

<file path=xl/comments13.xml><?xml version="1.0" encoding="utf-8"?>
<comments xmlns="http://schemas.openxmlformats.org/spreadsheetml/2006/main">
  <authors>
    <author>刘辉</author>
  </authors>
  <commentList>
    <comment ref="J9" authorId="0">
      <text>
        <r>
          <rPr>
            <b/>
            <sz val="9"/>
            <color indexed="81"/>
            <rFont val="宋体"/>
            <family val="3"/>
            <charset val="134"/>
          </rPr>
          <t>公司未收到表扬或处罚，因此，得基础分1分。</t>
        </r>
      </text>
    </comment>
    <comment ref="K9" authorId="0">
      <text>
        <r>
          <rPr>
            <b/>
            <sz val="9"/>
            <color indexed="81"/>
            <rFont val="宋体"/>
            <family val="3"/>
            <charset val="134"/>
          </rPr>
          <t>公司未收到表扬或处罚，因此，得基础分1分。</t>
        </r>
      </text>
    </comment>
    <comment ref="J11" authorId="0">
      <text>
        <r>
          <rPr>
            <b/>
            <sz val="9"/>
            <color indexed="81"/>
            <rFont val="宋体"/>
            <family val="3"/>
            <charset val="134"/>
          </rPr>
          <t>公司存在交易对手风险评估、识别和管控制度，并未突出交易对手欺诈风险。</t>
        </r>
      </text>
    </comment>
    <comment ref="K11" authorId="0">
      <text>
        <r>
          <rPr>
            <b/>
            <sz val="9"/>
            <color indexed="81"/>
            <rFont val="宋体"/>
            <family val="3"/>
            <charset val="134"/>
          </rPr>
          <t>公司存在交易对手风险评估、识别和管控制度，并未突出交易对手欺诈风险。</t>
        </r>
      </text>
    </comment>
  </commentList>
</comments>
</file>

<file path=xl/comments14.xml><?xml version="1.0" encoding="utf-8"?>
<comments xmlns="http://schemas.openxmlformats.org/spreadsheetml/2006/main">
  <authors>
    <author>刘辉</author>
  </authors>
  <commentList>
    <comment ref="G33" authorId="0">
      <text>
        <r>
          <rPr>
            <sz val="9"/>
            <color indexed="81"/>
            <rFont val="Tahoma"/>
            <family val="2"/>
          </rPr>
          <t>Q4</t>
        </r>
        <r>
          <rPr>
            <sz val="9"/>
            <color indexed="81"/>
            <rFont val="宋体"/>
            <family val="3"/>
            <charset val="134"/>
          </rPr>
          <t>评价标准中删除了监管评价的</t>
        </r>
        <r>
          <rPr>
            <sz val="9"/>
            <color indexed="81"/>
            <rFont val="Tahoma"/>
            <family val="2"/>
          </rPr>
          <t>10</t>
        </r>
        <r>
          <rPr>
            <sz val="9"/>
            <color indexed="81"/>
            <rFont val="宋体"/>
            <family val="3"/>
            <charset val="134"/>
          </rPr>
          <t>分，流动性满分变为</t>
        </r>
        <r>
          <rPr>
            <sz val="9"/>
            <color indexed="81"/>
            <rFont val="Tahoma"/>
            <family val="2"/>
          </rPr>
          <t xml:space="preserve">90. </t>
        </r>
        <r>
          <rPr>
            <sz val="9"/>
            <color indexed="81"/>
            <rFont val="宋体"/>
            <family val="3"/>
            <charset val="134"/>
          </rPr>
          <t>保监会群中有人问是否计算方法变为：实际得分</t>
        </r>
        <r>
          <rPr>
            <sz val="9"/>
            <color indexed="81"/>
            <rFont val="Tahoma"/>
            <family val="2"/>
          </rPr>
          <t>/90*100</t>
        </r>
        <r>
          <rPr>
            <sz val="9"/>
            <color indexed="81"/>
            <rFont val="宋体"/>
            <family val="3"/>
            <charset val="134"/>
          </rPr>
          <t>？</t>
        </r>
        <r>
          <rPr>
            <sz val="9"/>
            <color indexed="81"/>
            <rFont val="Tahoma"/>
            <family val="2"/>
          </rPr>
          <t xml:space="preserve"> </t>
        </r>
        <r>
          <rPr>
            <sz val="9"/>
            <color indexed="81"/>
            <rFont val="宋体"/>
            <family val="3"/>
            <charset val="134"/>
          </rPr>
          <t>回答：是的。</t>
        </r>
      </text>
    </comment>
    <comment ref="H33" authorId="0">
      <text>
        <r>
          <rPr>
            <sz val="9"/>
            <color indexed="81"/>
            <rFont val="Tahoma"/>
            <family val="2"/>
          </rPr>
          <t>Q4</t>
        </r>
        <r>
          <rPr>
            <sz val="9"/>
            <color indexed="81"/>
            <rFont val="宋体"/>
            <family val="3"/>
            <charset val="134"/>
          </rPr>
          <t>评价标准中删除了监管评价的</t>
        </r>
        <r>
          <rPr>
            <sz val="9"/>
            <color indexed="81"/>
            <rFont val="Tahoma"/>
            <family val="2"/>
          </rPr>
          <t>10</t>
        </r>
        <r>
          <rPr>
            <sz val="9"/>
            <color indexed="81"/>
            <rFont val="宋体"/>
            <family val="3"/>
            <charset val="134"/>
          </rPr>
          <t>分，流动性满分变为</t>
        </r>
        <r>
          <rPr>
            <sz val="9"/>
            <color indexed="81"/>
            <rFont val="Tahoma"/>
            <family val="2"/>
          </rPr>
          <t xml:space="preserve">90. </t>
        </r>
        <r>
          <rPr>
            <sz val="9"/>
            <color indexed="81"/>
            <rFont val="宋体"/>
            <family val="3"/>
            <charset val="134"/>
          </rPr>
          <t>保监会群中有人问是否计算方法变为：实际得分</t>
        </r>
        <r>
          <rPr>
            <sz val="9"/>
            <color indexed="81"/>
            <rFont val="Tahoma"/>
            <family val="2"/>
          </rPr>
          <t>/90*100</t>
        </r>
        <r>
          <rPr>
            <sz val="9"/>
            <color indexed="81"/>
            <rFont val="宋体"/>
            <family val="3"/>
            <charset val="134"/>
          </rPr>
          <t>？</t>
        </r>
        <r>
          <rPr>
            <sz val="9"/>
            <color indexed="81"/>
            <rFont val="Tahoma"/>
            <family val="2"/>
          </rPr>
          <t xml:space="preserve"> </t>
        </r>
        <r>
          <rPr>
            <sz val="9"/>
            <color indexed="81"/>
            <rFont val="宋体"/>
            <family val="3"/>
            <charset val="134"/>
          </rPr>
          <t>回答：是的。</t>
        </r>
      </text>
    </comment>
    <comment ref="I33" authorId="0">
      <text>
        <r>
          <rPr>
            <sz val="9"/>
            <color indexed="81"/>
            <rFont val="Tahoma"/>
            <family val="2"/>
          </rPr>
          <t>Q4</t>
        </r>
        <r>
          <rPr>
            <sz val="9"/>
            <color indexed="81"/>
            <rFont val="宋体"/>
            <family val="3"/>
            <charset val="134"/>
          </rPr>
          <t>评价标准中删除了监管评价的</t>
        </r>
        <r>
          <rPr>
            <sz val="9"/>
            <color indexed="81"/>
            <rFont val="Tahoma"/>
            <family val="2"/>
          </rPr>
          <t>10</t>
        </r>
        <r>
          <rPr>
            <sz val="9"/>
            <color indexed="81"/>
            <rFont val="宋体"/>
            <family val="3"/>
            <charset val="134"/>
          </rPr>
          <t>分，流动性满分变为</t>
        </r>
        <r>
          <rPr>
            <sz val="9"/>
            <color indexed="81"/>
            <rFont val="Tahoma"/>
            <family val="2"/>
          </rPr>
          <t xml:space="preserve">90. </t>
        </r>
        <r>
          <rPr>
            <sz val="9"/>
            <color indexed="81"/>
            <rFont val="宋体"/>
            <family val="3"/>
            <charset val="134"/>
          </rPr>
          <t>保监会群中有人问是否计算方法变为：实际得分</t>
        </r>
        <r>
          <rPr>
            <sz val="9"/>
            <color indexed="81"/>
            <rFont val="Tahoma"/>
            <family val="2"/>
          </rPr>
          <t>/90*100</t>
        </r>
        <r>
          <rPr>
            <sz val="9"/>
            <color indexed="81"/>
            <rFont val="宋体"/>
            <family val="3"/>
            <charset val="134"/>
          </rPr>
          <t>？</t>
        </r>
        <r>
          <rPr>
            <sz val="9"/>
            <color indexed="81"/>
            <rFont val="Tahoma"/>
            <family val="2"/>
          </rPr>
          <t xml:space="preserve"> </t>
        </r>
        <r>
          <rPr>
            <sz val="9"/>
            <color indexed="81"/>
            <rFont val="宋体"/>
            <family val="3"/>
            <charset val="134"/>
          </rPr>
          <t>回答：是的。</t>
        </r>
      </text>
    </comment>
  </commentList>
</comments>
</file>

<file path=xl/comments15.xml><?xml version="1.0" encoding="utf-8"?>
<comments xmlns="http://schemas.openxmlformats.org/spreadsheetml/2006/main">
  <authors>
    <author>徐梦薇</author>
  </authors>
  <commentList>
    <comment ref="H18" authorId="0">
      <text>
        <r>
          <rPr>
            <b/>
            <sz val="9"/>
            <color indexed="81"/>
            <rFont val="宋体"/>
            <family val="3"/>
            <charset val="134"/>
          </rPr>
          <t>徐梦薇</t>
        </r>
        <r>
          <rPr>
            <b/>
            <sz val="9"/>
            <color indexed="81"/>
            <rFont val="Tahoma"/>
            <family val="2"/>
          </rPr>
          <t>:</t>
        </r>
        <r>
          <rPr>
            <sz val="9"/>
            <color indexed="81"/>
            <rFont val="Tahoma"/>
            <family val="2"/>
          </rPr>
          <t xml:space="preserve">
2071</t>
        </r>
        <r>
          <rPr>
            <sz val="9"/>
            <color indexed="81"/>
            <rFont val="宋体"/>
            <family val="3"/>
            <charset val="134"/>
          </rPr>
          <t>年</t>
        </r>
        <r>
          <rPr>
            <sz val="9"/>
            <color indexed="81"/>
            <rFont val="Tahoma"/>
            <family val="2"/>
          </rPr>
          <t>6</t>
        </r>
        <r>
          <rPr>
            <sz val="9"/>
            <color indexed="81"/>
            <rFont val="宋体"/>
            <family val="3"/>
            <charset val="134"/>
          </rPr>
          <t>月</t>
        </r>
        <r>
          <rPr>
            <sz val="9"/>
            <color indexed="81"/>
            <rFont val="Tahoma"/>
            <family val="2"/>
          </rPr>
          <t>21</t>
        </r>
        <r>
          <rPr>
            <sz val="9"/>
            <color indexed="81"/>
            <rFont val="宋体"/>
            <family val="3"/>
            <charset val="134"/>
          </rPr>
          <t>日发布、</t>
        </r>
        <r>
          <rPr>
            <sz val="9"/>
            <color indexed="81"/>
            <rFont val="Tahoma"/>
            <family val="2"/>
          </rPr>
          <t>2017</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t>
        </r>
        <r>
          <rPr>
            <sz val="9"/>
            <color indexed="81"/>
            <rFont val="宋体"/>
            <family val="3"/>
            <charset val="134"/>
          </rPr>
          <t>日生效
《恒安标准人寿董事及高管人员培训管理办法》（负责部门</t>
        </r>
        <r>
          <rPr>
            <sz val="9"/>
            <color indexed="81"/>
            <rFont val="Tahoma"/>
            <family val="2"/>
          </rPr>
          <t>:</t>
        </r>
        <r>
          <rPr>
            <sz val="9"/>
            <color indexed="81"/>
            <rFont val="宋体"/>
            <family val="3"/>
            <charset val="134"/>
          </rPr>
          <t xml:space="preserve">人力资源部）
</t>
        </r>
      </text>
    </comment>
  </commentList>
</comments>
</file>

<file path=xl/sharedStrings.xml><?xml version="1.0" encoding="utf-8"?>
<sst xmlns="http://schemas.openxmlformats.org/spreadsheetml/2006/main" count="7339" uniqueCount="2474">
  <si>
    <t>人身保险公司销售、承保业务线的操作风险</t>
  </si>
  <si>
    <t>销售人员离职率</t>
  </si>
  <si>
    <t>评估期内离职的销售人员数量</t>
  </si>
  <si>
    <t>销售人员学历水平</t>
  </si>
  <si>
    <t>评估期末销售人员数量</t>
  </si>
  <si>
    <t>评估期末，销售人员中大专以上学历人员数量</t>
  </si>
  <si>
    <t>评估期评估公司规模保费</t>
  </si>
  <si>
    <t>评估期电话回访成功的保单件数</t>
  </si>
  <si>
    <t>评估期开展电话回访的保单件数</t>
  </si>
  <si>
    <t>电话营销质监问题比例</t>
  </si>
  <si>
    <t>评估期公司电话营销质监发现存在销售误导问题的保单件数</t>
  </si>
  <si>
    <t>评估期公司进行电话营销质监的保单总数</t>
  </si>
  <si>
    <t>与核心业务系统实时对接情况</t>
  </si>
  <si>
    <t>1|意外险出单系统不存在未与核心业务系统实时对接的问题</t>
  </si>
  <si>
    <t>2|意外险出单系统存在未与核心业务系统实时对接的问题</t>
  </si>
  <si>
    <t>完整记录意外险保单信息内容情况</t>
  </si>
  <si>
    <t>1|核心业务系统完整记录意外险保单信息内容</t>
  </si>
  <si>
    <t>2|核心业务系统未完整记录意外险保单信息内容</t>
  </si>
  <si>
    <t>完整性控制功能情况</t>
  </si>
  <si>
    <t>1|不具备完整性控制功能</t>
  </si>
  <si>
    <t>2|具备完整性控制功能，但功能不完备</t>
  </si>
  <si>
    <t>3|具备完整性控制功能，且功能完备</t>
  </si>
  <si>
    <t>逻辑准确性控制功能情况</t>
  </si>
  <si>
    <t>1|不具备逻辑准确性控制功能</t>
  </si>
  <si>
    <t>2|具备逻辑准确性控制功能，但功能不完备</t>
  </si>
  <si>
    <t>3|具备逻辑准确性控制功能，且功能完备</t>
  </si>
  <si>
    <t>系统发生故障次数</t>
  </si>
  <si>
    <t xml:space="preserve">人身保险公司理赔、保全业务线的操作风险 </t>
  </si>
  <si>
    <t>评估期末具有3年以上理赔工作经验的理赔工作人员数量</t>
  </si>
  <si>
    <t>评估期末理赔工作人员数量</t>
  </si>
  <si>
    <t>从事保全工作的时间在5年以上的保全工作人员数量</t>
  </si>
  <si>
    <t>从事保全工作的时间在1年以下的保全工作人员数量</t>
  </si>
  <si>
    <t>评估期末保全工作人员数量</t>
  </si>
  <si>
    <t>保险公司资金运用业务线操作风险</t>
  </si>
  <si>
    <t>资产管理部门负责人从业年限</t>
  </si>
  <si>
    <t>资产管理部门负责人违法违规及处罚情况</t>
  </si>
  <si>
    <t>1|最近4个季度内资产管理部门负责人未因违法违规受到行政处罚</t>
  </si>
  <si>
    <t>2|最近4个季度内资产管理部门负责人因违法违规受到行政处罚</t>
  </si>
  <si>
    <t>资产管理部门人员平均从业年限</t>
  </si>
  <si>
    <t>保险公司委托投资的，资产管理部门岗位设置情况</t>
  </si>
  <si>
    <t>1|资产管理部门在投资研究、资产清算或托管、风险控制、业绩评估、相关保障等环节设置岗位</t>
  </si>
  <si>
    <t>2|资产管理部门未在投资研究、资产清算、托管、风险控制、业绩评估、相关保障等环节设置岗位</t>
  </si>
  <si>
    <t>3|不适用</t>
  </si>
  <si>
    <t>保险公司自行投资的，资产管理部门岗位设置情况</t>
  </si>
  <si>
    <t>1|资产管理部门除在投资研究、资产清算或托管、风险控制、业绩评估、相关保障等环节设置岗位外，还设置投资、交易等与资金运用业务直接相关的岗位</t>
  </si>
  <si>
    <t>2|资产管理部门未在投资研究、资产清算或托管、风险控制、业绩评估、相关保障等环节设置岗位，也未设置投资、交易等与资金运用业务直接相关的岗位</t>
  </si>
  <si>
    <t>人员结构</t>
  </si>
  <si>
    <t>资金运用风险管理人员数量</t>
  </si>
  <si>
    <t>投研人员数量</t>
  </si>
  <si>
    <t>资产管理部门人员流失率</t>
  </si>
  <si>
    <t>最近4个季度内离职的部门人员数量</t>
  </si>
  <si>
    <t>前4个季度初的部门人员数量</t>
  </si>
  <si>
    <t>最近4个季度增加的部门人员数量</t>
  </si>
  <si>
    <t>投资风险责任人人数</t>
  </si>
  <si>
    <t>最近4个季度投资风险责任人培训次数</t>
  </si>
  <si>
    <t>员工培训频率</t>
  </si>
  <si>
    <t>最近4个季度内员工培训人次</t>
  </si>
  <si>
    <t>资产管理部总人数</t>
  </si>
  <si>
    <t>保险公司自行投资的，投研人员激励机制情况</t>
  </si>
  <si>
    <t>1|对投研人员无激励机制或激励机制只与短期（一年及以内）业绩挂钩</t>
  </si>
  <si>
    <t>2|对投研人员的激励机制与长期（一年以上）业绩挂钩</t>
  </si>
  <si>
    <t>保险公司委托投资的，投研人员激励机制情况</t>
  </si>
  <si>
    <t>1|能够提供受托机构相关证明材料</t>
  </si>
  <si>
    <t>2|不能提供受托机构相关证明材料</t>
  </si>
  <si>
    <t>保险公司自行投资的，风险管理人员激励机制情况</t>
  </si>
  <si>
    <t>1|资金运用风险管理人员激励机制不直接与投资业绩挂钩</t>
  </si>
  <si>
    <t>2|资金运用风险管理人员激励机制直接与投资业绩挂钩</t>
  </si>
  <si>
    <t>保险公司委托投资的，风险管理人员激励机制情况</t>
  </si>
  <si>
    <t>2|不能够提供受托机构相关证明材料</t>
  </si>
  <si>
    <t>1|业绩考核与操作风险挂钩</t>
  </si>
  <si>
    <t>2|业绩考核不与操作风险挂钩</t>
  </si>
  <si>
    <t>操作风险数据库情况</t>
  </si>
  <si>
    <t>1|建立资金运用操作风险数据库且如实记录操作风险事件</t>
  </si>
  <si>
    <t>2|未建立资金运用操作风险数据库或未如实记录操作风险事件</t>
  </si>
  <si>
    <t>委托投资管理制度情况</t>
  </si>
  <si>
    <t>1|保险公司委托投资的，全部建立相关制度</t>
  </si>
  <si>
    <t>2|保险公司委托投资的，未全部建立相关制度</t>
  </si>
  <si>
    <t>3|保险公司未开展委托投资</t>
  </si>
  <si>
    <t>委托投资指引情况</t>
  </si>
  <si>
    <t>1|委托投资指引达到要求</t>
  </si>
  <si>
    <t>2|委托投资指引未达到要求</t>
  </si>
  <si>
    <t>定期评估情况</t>
  </si>
  <si>
    <t>1|最近4个季度内对全部投资管理人评估大于1次</t>
  </si>
  <si>
    <t>2|最近4个季度内只对部分投资管理人进行评估</t>
  </si>
  <si>
    <t>3|最近4个季度内未对投资管理人进行评估</t>
  </si>
  <si>
    <t>压力测试情况</t>
  </si>
  <si>
    <t>1|资产配置压力测试达到要求</t>
  </si>
  <si>
    <t>2|资产配置压力测试未达到要求</t>
  </si>
  <si>
    <t>保险公司自行投资的，分账户情况</t>
  </si>
  <si>
    <t>1|资产配置分账户管理达到要求</t>
  </si>
  <si>
    <t>2|资产配置分账户管理未达到要求</t>
  </si>
  <si>
    <t>保险公司委托投资的，分账户情况</t>
  </si>
  <si>
    <t>托管情况</t>
  </si>
  <si>
    <t>1|全部投资资产实施托管</t>
  </si>
  <si>
    <t>2|投资资产部分托管</t>
  </si>
  <si>
    <t>3|投资资产未托管</t>
  </si>
  <si>
    <t>投资授权制度情况</t>
  </si>
  <si>
    <t>1|具备完善的投资授权制度，建立董事会投资决策委员会体系，决策及批准权限明确</t>
  </si>
  <si>
    <t>2|不具备完善的投资授权制度，未建立董事会投资决策委员会体系，决策及批准权限不明确</t>
  </si>
  <si>
    <t>保险公司自行投资的，决策流程信息化和自动化情况</t>
  </si>
  <si>
    <t>1|实现决策流程的信息化和自动化，通过信息系统手段实现投资决策流程、次序自动控制</t>
  </si>
  <si>
    <t>2|未实现决策流程的信息化和自动化，未能通过信息系统手段实现投资决策流程、次序自动控制</t>
  </si>
  <si>
    <t>保险公司委托投资的，决策流程信息化和自动化情况</t>
  </si>
  <si>
    <t>保险公司自行投资的，投资决策书面记录情况</t>
  </si>
  <si>
    <t>1|重要投资决策有相关书面记录，如会议纪要、最终投资决议等，并由决策人在最终投资决议上确认</t>
  </si>
  <si>
    <t>2|重要投资决策没有相关书面记录，如会议纪要、最终投资决议等，或者决策人未在最终投资决议上确认</t>
  </si>
  <si>
    <t>保险公司委托投资的，投资决策书面记录情况</t>
  </si>
  <si>
    <t>保险公司自行投资的，投资池、备选池和禁投池体系情况</t>
  </si>
  <si>
    <t>1|构建投资池、备选池和禁投池体系且定期维护</t>
  </si>
  <si>
    <t>2|未构建投资池、备选池和禁投池体系或未定期维护</t>
  </si>
  <si>
    <t>3|未开展股票、债券、开放式基金等投资</t>
  </si>
  <si>
    <t>保险公司委托投资的，投资池、备选池和禁投池体系情况</t>
  </si>
  <si>
    <t>最近4个季度投资决策操作风险事件次数</t>
  </si>
  <si>
    <t>保险公司自行投资的，集中交易情况</t>
  </si>
  <si>
    <t>1|实行集中交易制度，安装必要的监测系统、预警系统和反馈系统，对交易室通讯设备进行监控</t>
  </si>
  <si>
    <t>2|未实行集中交易制度，未安装必要的监测系统、预警系统和反馈系统，未对交易室通讯设备进行监控</t>
  </si>
  <si>
    <t>保险公司委托投资的，集中交易情况</t>
  </si>
  <si>
    <t>保险公司自行投资的，交易记录情况</t>
  </si>
  <si>
    <t>1|建立完善的交易记录制度，每日对交易记录及时核对并存档</t>
  </si>
  <si>
    <t>2|未建立完善的交易记录制度，未对交易记录及时核对并存档</t>
  </si>
  <si>
    <t>保险公司委托投资的，交易记录情况</t>
  </si>
  <si>
    <t>最近4个季度交易行为操作风险事件次数</t>
  </si>
  <si>
    <t>保险公司自行投资的，会计估值政策与制度规范情况</t>
  </si>
  <si>
    <t>1|建立会计估值政策与制度规范，估值结果经过复核审查</t>
  </si>
  <si>
    <t>2|未建立会计估值政策与制度规范，估值未经过复核审查</t>
  </si>
  <si>
    <t>保险公司委托投资的，会计估值政策与制度规范情况</t>
  </si>
  <si>
    <t>保险公司自行投资的，清算和交易信息核对频率情况</t>
  </si>
  <si>
    <t>1|投资部门的业务交易台账与后台清算记录和资金记录应保持一致，并保留复核纪录，每日完成交易后进行清算和交易信息核对</t>
  </si>
  <si>
    <t>2|投资部门的业务交易台账未能与后台清算记录和资金记录保持一致，未保留复核纪录，每日完成交易后未进行清算和交易信息核对</t>
  </si>
  <si>
    <t>保险公司委托投资的，清算和交易信息核对频率情况</t>
  </si>
  <si>
    <t>1|由投资部门督促检查管理人和托管人的业务交易台账与后台清算记录和资金记录是否保持一致，管理人和托管人每日核对清算和交易信息</t>
  </si>
  <si>
    <t>2|投资部门未督促检查管理人和托管人的业务交易台账与后台清算记录和资金记录是否保持一致，管理人和托管人每日未核对清算和交易信息</t>
  </si>
  <si>
    <t>最近4个季度估值核算操作风险事件次数</t>
  </si>
  <si>
    <t>最近4个季度信息披露风险事件次数</t>
  </si>
  <si>
    <t>保险公司自行投资的，系统自动化情况</t>
  </si>
  <si>
    <t>1|建立资金运用信息系统，设定合规性和风险指标阀值，将风险监控的各项要素固化到信息系统之中，实现管理自动化</t>
  </si>
  <si>
    <t>2|建立资金运用信息系统，设定合规性和风险指标阀值，将部分合规性和风险指标阀值设置于信息系统</t>
  </si>
  <si>
    <t>3|未建立资金运用信息系统，未设定合规性和风险指标阀值，未将风险监控的各项要素固化到信息系统之中</t>
  </si>
  <si>
    <t>保险公司委托投资的，系统自动化情况</t>
  </si>
  <si>
    <t>系统设计差错量</t>
  </si>
  <si>
    <t>最近4个季度系统中断次数</t>
  </si>
  <si>
    <t>最近4个季度系统异常事件数量</t>
  </si>
  <si>
    <t>最近4个季度信息安全事件数量</t>
  </si>
  <si>
    <t>最近4个季度数据差错量</t>
  </si>
  <si>
    <t>对新政策的参与和反应速度</t>
  </si>
  <si>
    <t>1|能积极参与、密切跟踪新的资金运用、偿付能力等政策制度，能够及时对新政作出调整资金运用管理流程和经营行为</t>
  </si>
  <si>
    <t>2|未能积极参与、密切跟踪新的资金运用、偿付能力等政策制度，未能及时对新政作出调整资金运用管理流程和经营行为</t>
  </si>
  <si>
    <t>新政策培训情况</t>
  </si>
  <si>
    <t>1|对新的资金运用、偿付能力等政策制度，保险公司能够及时对高管、相关部门人员进行培训</t>
  </si>
  <si>
    <t>2|对新的资金运用、偿付能力等政策制度，保险公司未能及时对高管、相关部门人员进行培训</t>
  </si>
  <si>
    <t>保险公司财务管理操作风险</t>
  </si>
  <si>
    <t>1|财会部门主要负责人符合专业性要求</t>
  </si>
  <si>
    <t>2|保险公司有多个部门负责财会工作的，所有的部门主要负责人符合专业性要求</t>
  </si>
  <si>
    <t>3|其他</t>
  </si>
  <si>
    <t>最近4个季度内离职的财会人员数量</t>
  </si>
  <si>
    <t>前4个季度初的财会人员数量</t>
  </si>
  <si>
    <t>最近4个季度增加的财会人员数量</t>
  </si>
  <si>
    <t>总公司财会部门人员数量</t>
  </si>
  <si>
    <t>业绩考核</t>
  </si>
  <si>
    <t>1|总公司财会部门负责人和分支机构财会部门负责人的业绩考核与相关操作风险相挂钩</t>
  </si>
  <si>
    <t>2|总公司财会部门负责人和分支机构财会部门负责人的业绩考核不与相关操作风险相挂钩</t>
  </si>
  <si>
    <t>1|建立财务管理操作风险数据库且如实记录操作风险事件</t>
  </si>
  <si>
    <t>2|未建立财务管理操作风险数据库或未如实记录操作风险事件</t>
  </si>
  <si>
    <t>核算集中度</t>
  </si>
  <si>
    <t>1|保险公司的会计核算在总公司或省级分公司集中处理</t>
  </si>
  <si>
    <t>2|保险公司的会计核算未在总公司和省级分公司集中处理</t>
  </si>
  <si>
    <t>会计差错量</t>
  </si>
  <si>
    <t>委托投资资产数据核对</t>
  </si>
  <si>
    <t>1|符合要求</t>
  </si>
  <si>
    <t>2|不符合要求</t>
  </si>
  <si>
    <t>最近4个季度偿付能力报告出现错报、漏报、未按时报送等差错的次数</t>
  </si>
  <si>
    <t>最近4个季度财务报告出现错报、漏报、未按时报送等差错的次数</t>
  </si>
  <si>
    <t>银行账户集中管理</t>
  </si>
  <si>
    <t>1|单证的领用、核销有专门内控程序和专人负责</t>
  </si>
  <si>
    <t>2|单证的领用、核销无专门内控程序和专人负责</t>
  </si>
  <si>
    <t>最近4个季度内已发放空白单证缺失的数量</t>
  </si>
  <si>
    <t>最近4个季度内空白单证发放的数量</t>
  </si>
  <si>
    <t>1|财务类印章印鉴实行专人管理，且其使用有明确的内部审批流程</t>
  </si>
  <si>
    <t>2|财务类印章印鉴无专人管理，或其使用无明确的内部审批流程</t>
  </si>
  <si>
    <t>最近4个季度印章管理操作风险事件次数</t>
  </si>
  <si>
    <t>税收管理负责情况</t>
  </si>
  <si>
    <t>1|总公司和分公司有专人专岗负责税收管理</t>
  </si>
  <si>
    <t>2|总公司和分公司无专岗但有专人负责税收管理</t>
  </si>
  <si>
    <t>最近4个季度税收操作风险事件次数</t>
  </si>
  <si>
    <t>系统自动化</t>
  </si>
  <si>
    <t>1|保险公司建立了财务信息系统，实现管理自动化</t>
  </si>
  <si>
    <t>2|保险公司未建立财务信息系统，未实现管理自动化</t>
  </si>
  <si>
    <t>系统管理集中度</t>
  </si>
  <si>
    <t>1|财务数据由总公司集中存储，分支机构没有修改财务数据权限</t>
  </si>
  <si>
    <t>2|财务数据不是由总公司集中存储，或者分支机构有修改财务数据权限</t>
  </si>
  <si>
    <t>数据核对频率</t>
  </si>
  <si>
    <t>1|核对频率高于等于每周一次</t>
  </si>
  <si>
    <t>2|核对频率低于每周一次但高于等于每月一次</t>
  </si>
  <si>
    <t>当期保费收入</t>
  </si>
  <si>
    <t>1|能积极参与、密切跟踪新的会计、税收、财务监管、偿付能力等政策制度，能够及时调整财务管理流程和经营行为</t>
  </si>
  <si>
    <t>2|未能积极参与、密切跟踪新的会计、税收、财务监管、偿付能力等政策制度，未能及时调整财务管理流程和经营行为</t>
  </si>
  <si>
    <t>1|对新的会计、税收、财务监管、偿付能力等政策制度，保险公司能够及时对高管、相关部门人员进行培训</t>
  </si>
  <si>
    <t>2|对新的会计、税收、财务监管、偿付能力等政策制度，保险公司不能及时对高管、相关部门人员进行培训</t>
  </si>
  <si>
    <t>具有三年以上寿险准备金评估工作经验的人员占比</t>
  </si>
  <si>
    <t>评估期末，公司从事寿险准备金评估工作的精算人员中具有三年以上寿险精算工作经验的人员数量</t>
  </si>
  <si>
    <t>评估期末，从事寿险准备金评估工作的精算人员数量</t>
  </si>
  <si>
    <t>总精算师在公司连续工作年限</t>
  </si>
  <si>
    <t>总精算师变更次数</t>
  </si>
  <si>
    <t>从事再保险管理工作的人员中具有三年以上相关工作经验的人员数量</t>
  </si>
  <si>
    <t>从事再保险管理工作的人员数量</t>
  </si>
  <si>
    <t>再保险合约出现差错的次数</t>
  </si>
  <si>
    <t>准备金评估系统故障次数</t>
  </si>
  <si>
    <t>非保险类行政处罚情况</t>
  </si>
  <si>
    <t>1|未受到该类行政处罚</t>
  </si>
  <si>
    <t>2|受到该类行政处罚</t>
  </si>
  <si>
    <t>设置合规管理部门的情况</t>
  </si>
  <si>
    <t>1|设置合规管理部门</t>
  </si>
  <si>
    <t>2|未设置合规管理部门</t>
  </si>
  <si>
    <t>制定合规管理政策的情况</t>
  </si>
  <si>
    <t>1|按照规定制定合规管理政策</t>
  </si>
  <si>
    <t>2|未按照规定制定合规管理政策</t>
  </si>
  <si>
    <t>落实合规政策的文件的情况</t>
  </si>
  <si>
    <t>1|制定员工行为准则等落实合规政策的文件</t>
  </si>
  <si>
    <t>2|未制定员工行为准则等落实合规政策的文件</t>
  </si>
  <si>
    <t>开展合规培训的情况</t>
  </si>
  <si>
    <t>1|定期开展合规培训</t>
  </si>
  <si>
    <t>2|未定期开展合规培训</t>
  </si>
  <si>
    <t>年度合规报告的情况</t>
  </si>
  <si>
    <t>1|按时提交年度合规报告</t>
  </si>
  <si>
    <t>2|未按时提交年度合规报告</t>
  </si>
  <si>
    <t>被1-5家主流媒体报道的次数</t>
  </si>
  <si>
    <t>被10家以上主流媒体报道的次数</t>
  </si>
  <si>
    <t>被6-10家主流媒体连续报道超过7天的次数</t>
  </si>
  <si>
    <t>保险公司声誉风险</t>
    <phoneticPr fontId="3" type="noConversion"/>
  </si>
  <si>
    <t>评价指标</t>
    <phoneticPr fontId="3" type="noConversion"/>
  </si>
  <si>
    <t>行次</t>
    <phoneticPr fontId="3" type="noConversion"/>
  </si>
  <si>
    <t>评估期初销售人员数量</t>
    <phoneticPr fontId="3" type="noConversion"/>
  </si>
  <si>
    <t>人身保险公司准备金、再保险业务线操作风险</t>
    <phoneticPr fontId="3" type="noConversion"/>
  </si>
  <si>
    <t>序号</t>
    <phoneticPr fontId="3" type="noConversion"/>
  </si>
  <si>
    <t>报表名称</t>
    <phoneticPr fontId="3" type="noConversion"/>
  </si>
  <si>
    <t>行次</t>
    <phoneticPr fontId="3" type="noConversion"/>
  </si>
  <si>
    <t>评估期末销售人员数量</t>
    <phoneticPr fontId="3" type="noConversion"/>
  </si>
  <si>
    <t>评价指标</t>
    <phoneticPr fontId="3" type="noConversion"/>
  </si>
  <si>
    <t>总公司财会部门人员数量</t>
    <phoneticPr fontId="3" type="noConversion"/>
  </si>
  <si>
    <t>最近4个季度内员工培训人次</t>
    <phoneticPr fontId="3" type="noConversion"/>
  </si>
  <si>
    <t>收支两条线</t>
    <phoneticPr fontId="3" type="noConversion"/>
  </si>
  <si>
    <t>单证管理</t>
    <phoneticPr fontId="3" type="noConversion"/>
  </si>
  <si>
    <t>印章管理情况</t>
    <phoneticPr fontId="3" type="noConversion"/>
  </si>
  <si>
    <t>保险公司合规风险</t>
  </si>
  <si>
    <t>评价指标</t>
    <phoneticPr fontId="3" type="noConversion"/>
  </si>
  <si>
    <t>保险公司自行投资的，业绩考核</t>
    <phoneticPr fontId="3" type="noConversion"/>
  </si>
  <si>
    <t>保险公司委托投资的，业绩考核</t>
    <phoneticPr fontId="3" type="noConversion"/>
  </si>
  <si>
    <t>最近4个季度数据差错金额绝对值之和</t>
    <phoneticPr fontId="3" type="noConversion"/>
  </si>
  <si>
    <t>具有三年以上工作经验的人员占比</t>
    <phoneticPr fontId="3" type="noConversion"/>
  </si>
  <si>
    <t>被1-5家主流媒体报道的标题</t>
    <phoneticPr fontId="3" type="noConversion"/>
  </si>
  <si>
    <t>被6-10家主流媒体报道的次数</t>
    <phoneticPr fontId="3" type="noConversion"/>
  </si>
  <si>
    <t>被6-10家主流媒体报道的标题</t>
    <phoneticPr fontId="3" type="noConversion"/>
  </si>
  <si>
    <t>被10家以上主流媒体报道的标题</t>
    <phoneticPr fontId="3" type="noConversion"/>
  </si>
  <si>
    <t>进行了负面舆情处置的报道的标题</t>
    <phoneticPr fontId="3" type="noConversion"/>
  </si>
  <si>
    <t>评估期保险公司关于承保、销售业务线的投诉次数</t>
    <phoneticPr fontId="12" type="noConversion"/>
  </si>
  <si>
    <t>评估期保险公司关于理赔、保全业务线的投诉次数</t>
    <phoneticPr fontId="12" type="noConversion"/>
  </si>
  <si>
    <t>总公司客服部</t>
    <phoneticPr fontId="3" type="noConversion"/>
  </si>
  <si>
    <t>总公司法律合规部</t>
  </si>
  <si>
    <t>总公司信息技术部</t>
  </si>
  <si>
    <t>总公司财务部</t>
  </si>
  <si>
    <t>总公司投资部</t>
  </si>
  <si>
    <t>总公司精算部</t>
  </si>
  <si>
    <t>总公司产品市场部</t>
  </si>
  <si>
    <t>审计报告</t>
  </si>
  <si>
    <t>投资部人员JD</t>
  </si>
  <si>
    <t>绩效合约</t>
  </si>
  <si>
    <t>再保账单、再保公司付款确认</t>
  </si>
  <si>
    <t>数据校验底稿</t>
  </si>
  <si>
    <t>准备金文件备份</t>
  </si>
  <si>
    <t>各相关报告</t>
  </si>
  <si>
    <t>上面没有扣分的话，此处不计分</t>
    <phoneticPr fontId="3" type="noConversion"/>
  </si>
  <si>
    <t>咨诉系统</t>
  </si>
  <si>
    <t>HR的人力编制</t>
  </si>
  <si>
    <t>协同业务系统</t>
  </si>
  <si>
    <t>HR人力编制</t>
  </si>
  <si>
    <t>理赔系统</t>
  </si>
  <si>
    <t>保全系统</t>
  </si>
  <si>
    <t>是</t>
  </si>
  <si>
    <t>总分</t>
    <phoneticPr fontId="12" type="noConversion"/>
  </si>
  <si>
    <t>总分</t>
    <phoneticPr fontId="12" type="noConversion"/>
  </si>
  <si>
    <t>总分</t>
    <phoneticPr fontId="3" type="noConversion"/>
  </si>
  <si>
    <t>总分</t>
    <phoneticPr fontId="3" type="noConversion"/>
  </si>
  <si>
    <t>行业水平评分</t>
    <phoneticPr fontId="12" type="noConversion"/>
  </si>
  <si>
    <t>直接评分</t>
    <phoneticPr fontId="12" type="noConversion"/>
  </si>
  <si>
    <t>直接评分</t>
    <phoneticPr fontId="12" type="noConversion"/>
  </si>
  <si>
    <t>直接评分</t>
  </si>
  <si>
    <t>行业水平评分</t>
  </si>
  <si>
    <t>直接评分</t>
    <phoneticPr fontId="3" type="noConversion"/>
  </si>
  <si>
    <t>上面没有扣分的话，此处不计分</t>
    <phoneticPr fontId="3" type="noConversion"/>
  </si>
  <si>
    <t>评估期末，核保人员中具有三年以上核保工作经验的人员占比。</t>
  </si>
  <si>
    <t>设行业平均水平为θ，评分为：
x&lt;0.85∙θ，0分；
0.85∙θ≤x&lt;1.25∙θ，2分；
1.25∙θ≤x&lt;1.5∙θ，4分；
1.5∙θ≤x，6分。</t>
  </si>
  <si>
    <t>评估期末，销售人员中大专以上学历人员占比。</t>
  </si>
  <si>
    <t>发现一次，扣0.5分，扣完为止</t>
  </si>
  <si>
    <t>评估期内发现产品说明会存在销售误导问题的场次。                        
评估期为评估时点之前12个月。</t>
  </si>
  <si>
    <t>发现一次，扣0.5分，扣完为止。</t>
  </si>
  <si>
    <t xml:space="preserve">电话营销质监问题比例=评估期公司电话营销质监发现存在销售误导问题的保单件数/评估期公司进行电话营销质监的保单总数。
（1）评估期为评估时点之前的3个月。
（2）电话营销的质监方法应是由专职质监人员对销售录音进行监听。 （3）保单的统计范围指承保生效保单，不包括未生效保单和赠险保单。                                                                                            （4）对于不开展电话销售的公司，填写“不适用”。    </t>
  </si>
  <si>
    <t>将全部n家公司的电话有效质监问题比例按从小到大排序，根据排名Ri进行赋分，其中1≤Ri&lt;[0.25∙n]，3分；
[0.25∙n]≤Ri&lt;[0.5∙n]，2分；
[0.5∙n]≤Ri&lt;[0.75∙n]，1分；
[0.75∙n]≤Ri≤n ，0分；对于填写“不适用”的公司由系统根据该项在操作流程中的权重赋分。</t>
  </si>
  <si>
    <t>评估期内发现公司内勤员工或销售人员组织参与非法集资的案件数量。评估期为评估时点之前12个月。</t>
  </si>
  <si>
    <t>评估期内发现发现公司内勤员工或销售人员通过盗用、伪造印鉴和保单等手段进行诈骗的案件数量。                                                         
评估期为评估时点之前12个月。</t>
  </si>
  <si>
    <t>评估期内发现公司销售人员侵占、挪用保费的案件数量。                               评估期为评估时点之前12个月。</t>
  </si>
  <si>
    <t>意外险出单系统是否与核心业务系统实时对接，意外险保单信息内容是否完整记录在核心业务系统。</t>
  </si>
  <si>
    <t>意外险出单系统存在未与核心业务系统实时对接的问题，扣2分，核心业务系统未完整记录意外险保单信息内容，扣2分。合计扣分不超过5分。</t>
  </si>
  <si>
    <t>核心业务系统、银（邮）保通系统及其他与核心业务系统对接的保险专业中介机构的业务系统是否具备客户信息字段完整性和逻辑准确性的控制可能。</t>
  </si>
  <si>
    <t>完整性控制功能不完备，扣2分；逻辑准确性控制功能不完备，扣2分；不具备完整性控制功能，扣3分；不具备逻辑准确性控制功能；扣3分。合计扣分不超过5分。</t>
  </si>
  <si>
    <t>系统故障导致无法出单，系统故障导致保单信息缺失和错误，系统故障导致业务系统与财务系统未实现无缝对接。</t>
  </si>
  <si>
    <t>每出现一次系统故障，扣1分。合计扣分不超过5分</t>
  </si>
  <si>
    <t>设行业平均水平为θ，评分为：
x&lt;0.85∙θ，4分；
0.85∙θ≤x&lt;1.25∙θ，6分；
1.25∙θ≤x&lt;1.5∙θ，8分；
1.5∙θ≤x，10分。</t>
  </si>
  <si>
    <t>评估期末，在评估公司从事保全工作时间5年以上的人员和从事保全工作时间1年以下的人员合计占全部保全工作人员的比例。</t>
  </si>
  <si>
    <t>评估期内作出核定结果的全部索赔申请从保险公司接到报案到通知被保险人或受益人核定结果的平均天数。                                       评估期为评估时点之前3个月。</t>
  </si>
  <si>
    <t>设行业平均水平为θ天，如果8≤θ，则评分为：
x≤8，4分；
8&lt;x≤15，2分；
15&lt;x，1分；
如果θ&lt;8，则评分为：
x≤θ，4分；
θ&lt;x≤8，3分；
8&lt;x≤15，2分；
15&lt;x，1分。</t>
  </si>
  <si>
    <t>评估期内完成理赔的案件从保险公司作出理赔核定结果到给付保险金的平均天数。                          
评估期为评估时点之前3个月。</t>
  </si>
  <si>
    <t>设行业平均水平为θ天，如果10≤θ，则评分为：
x≤10，6分；
10&lt;x≤15，2分；
15&lt;x，0分；
如果θ&lt;10，则评分为：
x≤θ，6分；
θ&lt;x≤10，4分；
10&lt;x≤15，2分；
15&lt;x，0分。</t>
  </si>
  <si>
    <t>评估期内处理完毕的全部保全申请，从保险公司接到保全申请到处理完毕的平均天数。                 
评估期为评估时点之前3个月。</t>
  </si>
  <si>
    <t>设行业平均水平为θ天，如果7≤θ，则评分为：
x≤7，10分；
7&lt;x≤13，4分；
13&lt;x，0分；
如果θ&lt;7，则评分为：
x≤θ，10分；
θ&lt;x≤7，7分；
7&lt;x≤13，4分；
13&lt;x，0分。</t>
  </si>
  <si>
    <t>评估期内保险公司受理的投诉自受理之日到向投诉人做出明确答复的时间。                                          
评估期为评估时点之前3个月。</t>
  </si>
  <si>
    <t>设行业平均水平为θ天，如果10≤θ，则评分为：
x≤10，7分；
10&lt;x≤15，3分；
15&lt;x，0分；
如果θ&lt;10，则评分为：
x≤θ，7分；
θ&lt;x≤10，5分；
10&lt;x≤15，3分；
15&lt;x，0分。</t>
  </si>
  <si>
    <t>评估期内发现保全或理赔工作人员侵占、挪用保费或保险金的案件数量。                                            
评估期为评估时点之前12个月。</t>
  </si>
  <si>
    <t>评估期内系统故障导致无法进行理赔、保全操作，或者导致理赔、保全数据遗失。                            
评估期为评估时点之前12个月</t>
  </si>
  <si>
    <t>发现一次，扣1分，扣完为止。</t>
  </si>
  <si>
    <t>评估期内发现系统存在管控漏洞，导致理赔、保全操作出现违法违规问题。                                       
评估期为评估时点之前12个月</t>
  </si>
  <si>
    <t>每发生一件，扣0.5分；每败诉一件，扣1分，最多扣至0分。评估期内发生且败诉，扣1分</t>
  </si>
  <si>
    <t>评估期内保险公司因理赔、保全业务引发的群体性事件数量。       评估期为评估时点之前12个月。</t>
  </si>
  <si>
    <t>每发生一件，扣1分，最多扣至0分。</t>
  </si>
  <si>
    <t>具有7年以上从业经验的，得2分；5年以上得1分；否则，得0分。</t>
  </si>
  <si>
    <t>处罚是指资产管理部门负责人因违法违规受到监管部门行政处罚的次数。</t>
  </si>
  <si>
    <t>最近4个季度内资产管理部门负责人未因违法违规受到行政处罚的，得2分；否则，得0分。</t>
  </si>
  <si>
    <t>平均从业年限是指资产管理部门全体人员从事金融机构投资相关工作年限的算术平均数。</t>
  </si>
  <si>
    <t>资产管理部门人员平均从业年限5年以上得2分；3年以上得1分；否则，得0分。</t>
  </si>
  <si>
    <t>根据《保险资产运用管理暂行办法》（保监会令2014年第3号），保险公司的资产管理部门应当在投资研究、资产清算、风险控制、业绩评估、相关保障等环节设置岗位。</t>
  </si>
  <si>
    <t>资产管理部门在投资研究、资产清算或托管、风险控制、业绩评估、相关保障等环节设置岗位的，得1分；否则，得0分。保险公司自行投资的，资产管理部门除设置上述岗位外，还设置投资、交易等与资金运用业务直接相关的岗位的，得1分；否则，得0分。</t>
  </si>
  <si>
    <t>资金运用风险管理人员数量与投研人员数量的比例在1/4以上得1分；其他得0分。</t>
  </si>
  <si>
    <t>资产管理部门人员流失率＝最近4个季度内离职的部门人员数量÷（前4个季度初的部门人员数量+最近4个季度增加的部门人员数量）×100％</t>
  </si>
  <si>
    <t>资产管理部门人员流失率小于20％的，得2分；小于30％的，得1分；超过30％的，得0分。</t>
  </si>
  <si>
    <t>投资风险责任人培训次数是指投资风险责任人参加保监会组织或认可的培训的累计次数。投资风险责任人是指符合《关于保险机构投资风险责任人有关事项的通知》（保监发〔2013〕28号）规定的风险责任人。</t>
  </si>
  <si>
    <t xml:space="preserve">最近4个季度内投资风险责任人培训次数大于1的，得1分；否则，得0分。保险公司没有相关投资风险责任人的，得1分。   </t>
  </si>
  <si>
    <t>员工培训频率≥2，得1分；
不满足上述要求的，得0分。</t>
  </si>
  <si>
    <t>投研人员激励机制是指对投研人员的薪酬水平是否与业绩相挂钩。</t>
  </si>
  <si>
    <t>保险公司自行投资的，对投研人员无激励机制或激励机制只与短期（一年及以内）业绩挂钩，得0分；与长期（一年以上）业绩挂钩，得1分。保险公司委托投资的，能够提供受托机构相关证明材料的，得1分；否则，得0分。</t>
  </si>
  <si>
    <t>风险管理人员激励机制是指资金运用风险管理人员的薪酬水平是否直接与投资业绩挂钩。</t>
  </si>
  <si>
    <t>保险公司自行投资的，资金运用风险管理人员激励机制不直接与投资业绩挂钩的，得1分；否则，得0分。保险公司委托投资的，能够提供受托机构相关证明材料的，得1分；否则，得0分。</t>
  </si>
  <si>
    <t>业绩考核是指资产管理部门负责人的业绩考核是否与操作风险相挂钩。</t>
  </si>
  <si>
    <t>保险公司自行投资的，业绩考核与操作风险挂钩，得1分；否则，得0分。保险公司委托投资的，能够提供受托机构相关证明材料的，得1分；否则，得0分。</t>
  </si>
  <si>
    <t>操作风险数据库指保险公司建立的资金运用操作风险数据库，及时记录投资决策、交易行为、估值核算、信息披露的操作风险事件。</t>
  </si>
  <si>
    <t>建立资金运用操作风险数据库且如实记录操作风险事件的，得5分，否则得0分。</t>
  </si>
  <si>
    <t>根据《保险资金委托投资管理暂行办法》（保监发〔2012〕60号），保险公司委托投资，应建立委托投资管理制度，建立投资管理人选聘、监督、评价、考核制度，建立投资资产退出机制。</t>
  </si>
  <si>
    <t>保险公司委托投资的，全部建立相关制度的，得1分；未全部建立的，得0分。保险公司未开展委托投资的，得1分。</t>
  </si>
  <si>
    <t>保险公司委托投资的，应制定委托投资指引，合理确定投资范围、投资目标、投资期限和投资限制等要素，定期或者不定期审核委托投资指引，并做出适当调整。</t>
  </si>
  <si>
    <t>委托投资指引达到要求的，得1分；未达到要求的，得0分。保险公司未开展委托投资的，得1分。</t>
  </si>
  <si>
    <t>根据《保险资产配置管理暂行办法》（保监发〔2012〕61号），保险公司应当建立资产配置压力测试模型，实施敏感性测试和情景测试，测试特定情景和各种不利情景下资产、收益和偿付能力变化。</t>
  </si>
  <si>
    <t>资产配置压力测试达到要求的，得4分；否则，得0分。</t>
  </si>
  <si>
    <t>保险公司委托投资的，应定期评估投资管理人的管理能力、投资业绩、服务质量等要素，跟踪监测各类委托投资账户风险及合规状况，定期出具分析报告。</t>
  </si>
  <si>
    <t>最近4个季度内对全部投资管理人评估大于1次的，得2分；只对部分投资管理人进行评估的，得1分；未对投资管理人进行评估的，得0分。保险公司未开展委托投资的，得2分。</t>
  </si>
  <si>
    <t>保险公司应实行资产配置分账户管理，并确保资金清算、会计核算、账户记录等方面独立、清晰与完整。</t>
  </si>
  <si>
    <t>保险公司自行投资的，资产配置分账户管理达到要求的，得3分；否则，得0分。保险公司委托投资的，能够提供受托机构相关证明材料的，得3分；否则，得0分。</t>
  </si>
  <si>
    <t>根据《关于规范保险资产托管业务的通知》（保监发〔2014〕84号），保险公司应将保险资金运用形成的各项投资资产全部实行第三方托管和监督。</t>
  </si>
  <si>
    <t>全部投资资产实施托管的，得5分；投资资产部分托管的，得3分；投资资产未托管的，得0分。</t>
  </si>
  <si>
    <t xml:space="preserve">根据《保险资产运用管理暂行办法》（保监会令2014年第3号），保险公司应当建立健全相对集中、分级管理、权责统一的投资决策和授权制度，董事会应当设立资产负债管理委员会（投资决策委员会）和风险管理委员会。
</t>
  </si>
  <si>
    <t>具备完善的投资授权制度，建立董事会投资决策委员会体系，决策及批准权限明确的，得1分；否则，得0分。</t>
  </si>
  <si>
    <t>根据《保险资产运用内部控制指引》（保监发〔2015〕114号），保险公司应实现决策流程的信息化和自动化，通过信息系统手段实现投资决策流程、次序的自动控制。</t>
  </si>
  <si>
    <t>保险公司自行投资的，实现决策流程的信息化和自动化，通过信息系统手段实现投资决策流程、次序自动控制的，得1分；否则，得0分。保险公司委托投资的，能够提供受托机构相关证明材料的，得1分；否则，得0分。</t>
  </si>
  <si>
    <t>保险公司重要投资决策应留下相关书面记录，如会议纪要、最终投资决议等，确保投资决策所依据的材料均经过审慎考虑，并由决策人在最终投资决议上确认。</t>
  </si>
  <si>
    <t>保险公司自行投资的，重要投资决策有相关书面记录，如会议纪要、最终投资决议等，并由决策人在最终投资决议上确认的，得1分；否则，得0分。保险公司委托投资的，能够提供受托机构相关证明材料的，得1分；否则，得0分。</t>
  </si>
  <si>
    <t>根据《保险资产运用管理暂行办法》（保监会令2014年第3号），保险公司应当建立专业化分析平台，并利用外部研究成果，研究制定涵盖交易对手管理和投资品种选择的模型和制度，构建投资池、备选池和禁投池体系。</t>
  </si>
  <si>
    <t>保险公司自行投资股票、债券、开放式基金等投资品种的，构建投资池、备选池和禁投池体系且定期维护的，得1分；否则，得0分。保险公司未开展股票、债券、开放式基金等投资的，得1分。保险公司委托投资的，能够提供受托机构相关证明材料的，得1分；否则，得0分。</t>
  </si>
  <si>
    <t>投资决策操作风险事件包括投资决策过程中越权投资、超过交易对手风险限额投资等风险事件，具体事件分类不重复计算。</t>
  </si>
  <si>
    <t>最近4个季度内未发生投资决策操作风险事件的，得5分；最近4个季度内发生1次以上、3次以内投资决策操作风险事件的，得3分；最近4个季度内发生的投资决策操作风险事件次数超过3次的，得0分。</t>
  </si>
  <si>
    <t>保险公司自行投资股票、债券、开放式基金等投资品种的，实行集中交易制度，安装必要的监测系统、预警系统和反馈系统，对交易室通讯设备进行监控的，得2分；否则，得0分。保险公司未开展股票、债券、开放式基金等投资的，得2分。保险公司委托投资的，能够提供受托机构相关证明材料的，得2分；否则，得0分。</t>
  </si>
  <si>
    <t>根据《保险资产运用内部控制指引》（保监发〔2015〕114号），保险公司应当建立完善的交易记录制度，每日的交易记录应当及时核对并存档。</t>
  </si>
  <si>
    <t>交易行为操作风险事件包括交易执行过程中越权交易、投资指令误操作、错误传达信息、交易下单差错、数据维护错误等风险事件，具体事件分类不重复计算。</t>
  </si>
  <si>
    <t>最近4个季度内未发生交易行为操作风险事件的，得5分；最近4个季度内发生1次以上、3次以内交易行为操作风险事件的，得3分；最近4个季度内发生的交易行为操作风险事件次数超过3次的，得0分。</t>
  </si>
  <si>
    <t>保险机构应当建立适当的会计估值政策与制度规范。估值结果应当经过恰当的复核审查，按照有关规定和合同的约定及时处理估值错误，并进行信息披露。</t>
  </si>
  <si>
    <t>保险公司自行投资的，建立会计估值政策与制度规范，估值结果经过复核审查，得1分；否则，得0分。保险公司委托投资的，能够提供受托机构相关证明材料的，得1分；否则，得0分。</t>
  </si>
  <si>
    <t xml:space="preserve">保险机构每日完成交易后，应当进行清算和交易信息核对工作。投资部门的业务交易台账应该与后台清算记录和资金记录保持一致，并保留复核纪录。
</t>
  </si>
  <si>
    <t>保险公司自行投资的，投资部门的业务交易台账与后台清算记录和资金记录应保持一致，并保留复核纪录，每日完成交易后进行清算和交易信息核对的，得1分；否则，得0分。保险公司委托投资的，由投资部门督促检查管理人和托管人的业务交易台账与后台清算记录和资金记录是否保持一致，管理人和托管人每日核对清算和交易信息的，得1分；否则，得0分。</t>
  </si>
  <si>
    <t>信息披露风险事件是指未按照保险公司资金运用信息披露相关准则及时、准确、完整披露相关信息的事件。</t>
  </si>
  <si>
    <t>最近4个季度内按照保险公司资金运用信息披露相关准则及时、准确、完整披露相关信息的，得5分；未及时、准确、完整披露相关信息的，累计1次以上、3次以内的，得3分；累计超过3次的，得0分。</t>
  </si>
  <si>
    <t>根据《保险资产运用管理暂行办法》（保监会令2014年第3号），保险公司应当建立保险资金运用信息管理系统，信息管理系统应当设定合规性和风险指标阀值，将风险监控的各项要素固化到相关信息技术系统之中。</t>
  </si>
  <si>
    <t>保险公司自行投资的，建立资金运用信息系统，设定合规性和风险指标阀值，将风险监控的各项要素固化到信息系统之中，实现管理自动化的，得3分；将部分合规性和风险指标阀值设置于信息系统的，得1分；否则，得0分。保险公司委托投资的，能够提供受托机构相关证明材料的，得3分；否则，得0分。</t>
  </si>
  <si>
    <t>系统设计差错是指在资金运用信息系统上线后，发现的设计开发中存在的核算规则错误、逻辑错误、设置错误等差错。</t>
  </si>
  <si>
    <t>资金运用信息系统设计差错量小于2个的，得1分；否则，得0分。</t>
  </si>
  <si>
    <t>系统中断次数是指资金运用信息系统出现故障，无法正常运转的次数。</t>
  </si>
  <si>
    <t>最近4个季度内累计中断次数小于1次的，得1分；否则，得0分。</t>
  </si>
  <si>
    <t>系统异常事件是指资金运用相关人员使用资金运用信息系统过程中，出现的用户无法登录、数据传输失败等个体事件。</t>
  </si>
  <si>
    <t>最近4个季度内系统异常事件数量累计小于5次的，得1分；超过5次的，得0分。</t>
  </si>
  <si>
    <t xml:space="preserve">信息安全事件是指资金运用信息系统等遭受病毒攻击、非法入侵、木马植入、外部网络攻击、信息泄露等，给公司声誉造成负面影响或者造成直接经济损失的事件数量。   </t>
  </si>
  <si>
    <t xml:space="preserve"> 最近4个季度内信息安全事件数量累计小于3次的，得2分；超过3次，少于6次的，得1分；其他情况，得0分。 </t>
  </si>
  <si>
    <t>数据差错量指保险公司资金运用信息系统数据出现差错的次数。</t>
  </si>
  <si>
    <t>最近4个季度内资金运用信息系统数据出现差错少于3次的，得2分；否则，得0分。</t>
  </si>
  <si>
    <t>保险公司是否能积极参与、密切跟踪新的资金运用、偿付能力等政策制度，能够及时对新政作出调整资金运用管理流程和经营行为的情况。</t>
  </si>
  <si>
    <t>能积极参与、密切跟踪新的资金运用、偿付能力等政策制度，能够及时对新政作出调整资金运用管理流程和经营行为的，得3分；否则，得0分。</t>
  </si>
  <si>
    <t>保险公司及时对高管、相关部门人员进行的新的资金运用、偿付能力等政策制度培训的情况。</t>
  </si>
  <si>
    <t>对新的资金运用、偿付能力等政策制度，保险公司能够及时对高管、相关部门人员进行培训的，得2分；否则，得0分。</t>
  </si>
  <si>
    <t>财会部门主要负责人专业性指财会部门主要负责人具有财务、会计类学历专业背景；且具有金融机构财务会计工作3年以上从业经验。
财会部门是指履行《保险公司财会工作规范》第七条规定职责的相关部门。（下同）</t>
  </si>
  <si>
    <t>财会部门人数指保险公司总公司财会部门的人员数量。</t>
  </si>
  <si>
    <t>财会部门人员流失率＝最近4个季度内离职的财会人员数量÷（前4个季度初的财会人员数量+最近4个季度增加的财会人员数量）×100％；
财会部门人员指总公司财会部门的人员。</t>
  </si>
  <si>
    <t>员工培训频率＝最近4个季度内员工培训人次/财会部门总人数；
员工培训人次指最近4个季度内保险公司组织财会部门人员参加的会计、财务、税收、偿付能力、风险管理等各类专业培训的人次。
财会部门人员指总公司财会部门的人员。</t>
  </si>
  <si>
    <t>员工培训频率≥2，得4分；
不满足上述要求的，得0分。</t>
  </si>
  <si>
    <t>业绩考核指公司有明确的制度规定总公司财会部门负责人和分支机构财会部门负责人的业绩考核应与财务管理相关操作风险相挂钩。</t>
  </si>
  <si>
    <t>总公司财会部门负责人和分支机构财会部门负责人的业绩考核与相关操作风险相挂钩的，得4分；否则，得0分</t>
  </si>
  <si>
    <t>操作风险数据库指保险公司建立的财务管理操作风险数据库及时记录会计核算、财务报告、资金管理、单证管理、印章管理、税收管理的操作风险事件。</t>
  </si>
  <si>
    <t>建立财务管理操作风险数据库且如实记录操作风险事件的，得5分，否则得0分。</t>
  </si>
  <si>
    <t>核算集中度指保险公司的会计核算应在总公司或省级分公司集中处理。</t>
  </si>
  <si>
    <t>保险公司的会计核算在总公司或省级分公司集中处理的，得1分；否则，得0分。</t>
  </si>
  <si>
    <t>会计差错量指是保险公司发生的，达到《企业会计准则第28号－会计政策、会计估计变更和差错更正》规定的前期差错的数量。</t>
  </si>
  <si>
    <t>会计差错量小于等于2次的，得4分；大于2次的，得0分。</t>
  </si>
  <si>
    <t xml:space="preserve">委托投资资产数据核对指保险公司建立了委托投资资产的数据核对机制，受托方与托管行每日核对委托投资资产数据；保险公司与受托方、托管行定期核对委托投资资产数据。  </t>
  </si>
  <si>
    <t xml:space="preserve"> 符合要求的，得1分；否则，得0分。</t>
  </si>
  <si>
    <t>偿付能力报告差错量指保险公司向保监会报送偿付能力报告出现错报、漏报、未按时报送等差错的次数。</t>
  </si>
  <si>
    <t>最近4个季度内，未发生过错报、漏报和未按时报送的，得5分；最近4个季度内，错报、漏报或未按时报送的次数少于2次的，得3分；最近4个季度内，错报、漏报或未按时报送的次数超过2次，或者发生1次重大错报或漏报的，得0分。</t>
  </si>
  <si>
    <t>财务报告差错量指保险公司向保监会报送财务报告出现错报、漏报、未按时报送等差错的次数。</t>
  </si>
  <si>
    <t>资金收支应按照“收支两条线”，由总公司进行集中管理，且总公司有专人专岗负责资金管理。
大病保险等有特别规定的除外（下同）。</t>
  </si>
  <si>
    <t>符合要求的，得1分；否则，得0分。</t>
  </si>
  <si>
    <t>银行账户应由总公司集中管理，银行账户的设立、变更或注销是否报总公司审批或备案。</t>
  </si>
  <si>
    <t>资金管理操作风险事件指最近4个季度内保险公司在资金管理方面出现挪用公款、票据欺诈、私自开立银行账户、账外资金等事件。</t>
  </si>
  <si>
    <t>单证管理指单证的领用、核销等有专门内控程序和专人负责。单证是指保险公司财会部门负责管理的有价单证，如发票、银行票据等（下同）。</t>
  </si>
  <si>
    <t>单证的领用、核销有专门内控程序和专人负责的，得1分；否则，得0分。</t>
  </si>
  <si>
    <t>空白单证缺失率＝最近4个季度内已发放空白单证缺失的数量÷最近4个季度内空白单证发放的数量×100％。</t>
  </si>
  <si>
    <t>空白单证缺失率小于0.1％的，得3分；否则，得0分。</t>
  </si>
  <si>
    <t>印章管理指财务类印章印鉴实行专人管理，且其使用有明确的内部审批流程。</t>
  </si>
  <si>
    <t>财务类印章印鉴实行专人管理，且其使用有明确的内部审批流程的，得1分；否则，得0分。</t>
  </si>
  <si>
    <t>印章管理操作风险事件指最近4个季度内发生印章遗失，未经审批擅自制造印章，未经审批使用财务印章等事件。</t>
  </si>
  <si>
    <t>最近4个季度内未发生过财务类印章管理操作风险事件的，得3分；最近4个季度内发生过1次以上、3次以内财务类印章管理操作风险事件的，得1分；最近4个季度内发生3次以上财务类印章管理操作风险事件的，得0分。</t>
  </si>
  <si>
    <t>保险公司总公司和分公司应安排专人专岗负责税收管理，或者安排专人负责税收管理。</t>
  </si>
  <si>
    <t>I类保险公司总公司和分公司有专人专岗负责税收管理的，得1分；II类保险公司总公司和分公司有专人负责税收管理的，得1分；否则，得0分。</t>
  </si>
  <si>
    <t>税收类操作风险事件是指最近4个季度内税务部门对保险公司进行的处罚。</t>
  </si>
  <si>
    <t>最近4个季度内未发生过税收类操作风险事件的，得4分；最近4个季度内发生1次以上、3次以内税收类操作风险事件的，得2分；最近4个季度内发生过3次以上税收类操作风险事件的，得0分。</t>
  </si>
  <si>
    <t>系统自动化指保险公司应建立了会计核算系统、资金管理系统等财务信息系统，将财务管理的流程内嵌入相关系统，实现管理自动化。</t>
  </si>
  <si>
    <t>保险公司建立了财务信息系统，实现管理自动化的，得2分；否则，得0分。</t>
  </si>
  <si>
    <t>系统异常事件数量指财务信息系统在最近4个季度内出现故障，导致系统无法正常运转时间超过4小时的次数。</t>
  </si>
  <si>
    <t>系统异常事件数量小于或等于3次的，得4分；大于3次但小于或等于5次的2分；否则，得0分。</t>
  </si>
  <si>
    <t>系统管理集中度指财务数据应由总公司集中存储，分支机构没有修改财务数据权限。</t>
  </si>
  <si>
    <t>财务数据由总公司集中存储，分支机构没有修改财务数据权限的，得3分；否则，得0分。</t>
  </si>
  <si>
    <t>数据核对频率指保险公司财务系统与业务系统、再保系统、精算系统等相关系统之间进行人工数据核对的频率。
人工数据核对指在系统自动核对的基础上，有专人进行系统差错核对处理，并保存相关作业文档。</t>
  </si>
  <si>
    <t>核对频率高于等于每周一次的，得3分；核对频率低于每周一次但高于等于每月一次的，得1分；否则，得0分</t>
  </si>
  <si>
    <t>对新政策的参与和反应速度指保险公司应能积极参与、密切跟踪新的会计、税收、财务监管、偿付能力等政策制度，并能及时调整财务管理流程和经营行为的情况、及时对高管、相关部门人员进行培训。</t>
  </si>
  <si>
    <t>能积极参与、密切跟踪新的会计、税收、财务监管、偿付能力等政策制度，能够及时调整财务管理流程和经营行为的，得3分；
对新的会计、税收、财务监管、偿付能力等政策制度，保险公司能够及时对高管、相关部门人员进行培训的，得2分；
否则，得0分。</t>
  </si>
  <si>
    <t>评估期末，公司从事寿险准备金评估工作的精算人员中具有三年以上寿险精算工作经验的人员占比。</t>
  </si>
  <si>
    <t>设行业平均水平为θ，评分为：
x&lt;0.85∙θ，2分
0.85∙θ≤x&lt;1.25∙θ，4分
1.25∙θ≤x&lt;1.5∙θ，6分
1.5∙θ≤x，8分
行业平均水平θ=∑(pi/(∑pi)∙θi)，pi是第i家公司从事寿险准备金评估工作的精算人员数量，θi是第i家公司从事寿险准备金评估工作的精算人员中具有三年以上寿险精算工作经验的人员占比</t>
  </si>
  <si>
    <t>总精算师（包括精算临时负责人）在现任职公司（或所属保险集团公司）从入职至今的连续工作年限；如果期间出现离职再入职情况，则从最近一次入职时间开始计算。入职标准是指在该公司（或所属保险集团公司）开始从事精算工作。</t>
  </si>
  <si>
    <t>设行业平均水平为θ，评分为：x&lt;0.5∙θ，1分；0.5∙θ≤x&lt;0.85∙θ，3分；0.85∙θ≤x&lt;1.25∙θ，5分；1.25∙θ≤x&lt;1.5∙θ，7分；1.5∙θ≤x，9分。</t>
  </si>
  <si>
    <t>过去2年公司总精算师（包括精算临时负责人）的变更次数。</t>
  </si>
  <si>
    <t>大于2次，得0分；等于2次，得1分；等于1次，得5分；等于0次，得9分。</t>
  </si>
  <si>
    <t>公司从事再保险管理工作的人员中具有三年以上相关工作经验的人员占比。再保险管理相关工作经验是指再保险合同签订和管理等工作。</t>
  </si>
  <si>
    <t>设行业平均水平为θ，评分为：x&lt;0.85∙θ，3分；0.85∙θ≤x&lt;1.25∙θ，5分；1.25∙θ≤x&lt;1.5∙θ，7分；1.5∙θ≤x，9分。</t>
  </si>
  <si>
    <t>过去12个月因再保险合同内容出现遗漏或错误导致公司经济损失。</t>
  </si>
  <si>
    <t>每出现一次，扣2分，扣完为止。</t>
  </si>
  <si>
    <t>过去12个月直保公司在分出业务时计算分出保费、再保险费、摊回赔款、摊回手续费和摊回费用等业务数据时出现计算错误，或者财务系统中记录的上述再保险业务数据出现差错。</t>
  </si>
  <si>
    <t>过去12个月准备金评估所使用的基础数据与核心业务系统中的数据存在偏差。</t>
  </si>
  <si>
    <t>过去12个月精算软件或EXCEL软件中用于准备金评估的模型设置存在错误，或者用于准备金评估的方法不符合监管规定。</t>
  </si>
  <si>
    <t>过去12个月精算报告、偿付能力报告等监管报告中存在数据错误、遗漏。</t>
  </si>
  <si>
    <t>过去12个月用于准备金评估的数据库系统、精算软件发生故障的次数。</t>
  </si>
  <si>
    <t>过去12个月保险公司与再保险公司发生合同纠纷的次数。</t>
  </si>
  <si>
    <t>未受到该类行政处罚的，扣0分。受到该类行政处罚的，扣5分。</t>
  </si>
  <si>
    <t>未设置合规管理部门，扣10分。
未按照规定制定合规管理政策，扣5分。
未制定员工行为准则等落实合规政策的文件，扣5分。
未定期开展合规培训，扣5分。
未按时提交年度合规报告，扣5分。</t>
  </si>
  <si>
    <t>警告，或者罚款和没收违法所得累计金额30万元以下的次数</t>
    <phoneticPr fontId="3" type="noConversion"/>
  </si>
  <si>
    <t>罚款和没收违法所得累计金额30万元以上100万元以下的次数</t>
    <phoneticPr fontId="3" type="noConversion"/>
  </si>
  <si>
    <t>罚款和没收违法所得累计金额100万元以上的次数</t>
    <phoneticPr fontId="3" type="noConversion"/>
  </si>
  <si>
    <t>董事长、总经理被处以罚款的次数</t>
    <phoneticPr fontId="3" type="noConversion"/>
  </si>
  <si>
    <t>董事长、总经理以外的其他董事、高级管理人员被撤销任职资格或者禁止进入保险业的次数</t>
    <phoneticPr fontId="3" type="noConversion"/>
  </si>
  <si>
    <t>每家分支机构受罚款金额</t>
    <phoneticPr fontId="3" type="noConversion"/>
  </si>
  <si>
    <t>受严重处罚分支机构占比</t>
    <phoneticPr fontId="3" type="noConversion"/>
  </si>
  <si>
    <t>受严重处罚的分支机构总家次</t>
    <phoneticPr fontId="3" type="noConversion"/>
  </si>
  <si>
    <t>评估期内各分支机构罚款总额</t>
    <phoneticPr fontId="3" type="noConversion"/>
  </si>
  <si>
    <t>总公司当期保险类行政处罚情况</t>
    <phoneticPr fontId="3" type="noConversion"/>
  </si>
  <si>
    <t>评估期内受处罚的分支机构总家次</t>
    <phoneticPr fontId="3" type="noConversion"/>
  </si>
  <si>
    <t>1.对评估期内总公司及其责任人员处罚进行评价；
2.累计金额指评估期内总公司及其责任人员所受罚款和没收违法所得的金额总和，应当将机构和个人的所有罚款和所有没收违法所得金额进行相加；
3.同时受到多种处罚措施的，按扣分最高的标准评价； 
4.根据我会有关规定，保监局对总公司非高级管理人员实施处罚的，相关数据由保监局报送。</t>
  </si>
  <si>
    <t>未受到行政处罚的，扣0分。
警告，或者罚款和没收违法所得累计金额30万元以下的，扣10分。
罚款和没收违法所得累计金额30万元以上100万元以下的，扣15分。
有下列情形之一的，扣20分：
1.罚款和没收违法所得累计金额100万元以上的；
2.董事长、总经理被处以罚款的；
3.董事长、总经理以外的其他董事、高级管理人员被撤销任职资格或者禁止进入保险业的。</t>
  </si>
  <si>
    <t>总公司在上一评估期内受到行政处罚的，扣5分。</t>
  </si>
  <si>
    <t>总公司保险类既往行政处罚情况</t>
    <phoneticPr fontId="3" type="noConversion"/>
  </si>
  <si>
    <t>1.对评估期内分支机构及其责任人员罚款进行评价；
2.分支机构包括分公司、中心支公司、支公司、营业部、营销服务部；
3.每家分支机构受罚款金额=该公司各分支机构罚款总额/该公司受处罚的分支机构家次；
4.该指标行业平均值＝全行业分支机构罚款总额/全行业受处罚分支机构总家次（产险业和寿险业分别计算）</t>
  </si>
  <si>
    <t>未受到行政处罚的，扣0分。
（0，行业平均值*80%]，扣5分。
（行业平均值*80%，行业平均值*120%]，扣10分。
（行业平均值*120%，+∞），扣15分。</t>
  </si>
  <si>
    <t>1. 对评估期内分支机构及其责任人员所受严重处罚进行评价；
2.严重处罚是指依照保险法律、行政法规的规定，违法行为情节严重，依法受到责令停业整顿、限制业务范围、责令停止接受新业务、吊销业务许可证、撤销任职资格、禁止进入保险业等处罚，不包括警告和罚款；
3. 受严重处罚分支机构占比=该公司受严重处罚的分支机构总家次/该公司受处罚分支机构总家次*100%；
4. 该指标行业平均值=全行业受严重处罚的分支机构总家次/全行业受处罚分支机构总家次*100%；（产险业和寿险业分别计算）</t>
  </si>
  <si>
    <t>未受到该类行政处罚的，扣0分。
（0，行业平均值*80%]，扣5分。
（行业平均值*80%，行业平均值*120%]，扣10分。
（行业平均值*120%，+∞），扣15分。</t>
  </si>
  <si>
    <t>特殊评价</t>
    <phoneticPr fontId="3" type="noConversion"/>
  </si>
  <si>
    <t>（100）</t>
    <phoneticPr fontId="3" type="noConversion"/>
  </si>
  <si>
    <t>“公开回应”是指保险公司通过官方微博、微信公众号、官方网站等平台以及接受媒体采访、电话问询或撰写署名文章等方式主动澄清和回应涉及本单位的负面报道。</t>
  </si>
  <si>
    <t>评估期内总公司（不包括责任人员）因违反反洗钱、反垄断或者其他金融监管规定，受到人民银行、发改委等单位或者其他金融监管部门的行政处罚。</t>
    <phoneticPr fontId="3" type="noConversion"/>
  </si>
  <si>
    <t>根据保险公司总公司执行保监会合规监管要求的情况，评价保险公司的合规管理。</t>
    <phoneticPr fontId="3" type="noConversion"/>
  </si>
  <si>
    <t>评估期内保险公司总公司及其责任人员受到严重处罚，对公司的合规风险产生重大影响，则直接扣除该保险公司合规风险100分。</t>
    <phoneticPr fontId="3" type="noConversion"/>
  </si>
  <si>
    <t>有下列情形之一的，扣100分：
1.总公司被限制业务范围、责令停止接受新业务、责令停业整顿、吊销业务许可证的；
2.总公司董事长、总经理被撤销任职资格或者禁止进入保险业的。</t>
    <phoneticPr fontId="3" type="noConversion"/>
  </si>
  <si>
    <t>“负面舆情”指在评估期内，社会公众对保险市场、保险经营所持有的负面态度、意见。“主要媒体”为国家网信办公布的“可供网站转载新闻的新闻单位名单”，包括原创和转载报道，不包括监管行政处罚类报道。失实报道以主要媒体是否进行更正为判定标准，不做扣分处理。</t>
    <phoneticPr fontId="3" type="noConversion"/>
  </si>
  <si>
    <t>统计期间</t>
    <phoneticPr fontId="3" type="noConversion"/>
  </si>
  <si>
    <t>指标说明</t>
    <phoneticPr fontId="3" type="noConversion"/>
  </si>
  <si>
    <t>评分规则</t>
    <phoneticPr fontId="3" type="noConversion"/>
  </si>
  <si>
    <t>评估期内</t>
  </si>
  <si>
    <t>评估期内</t>
    <phoneticPr fontId="12" type="noConversion"/>
  </si>
  <si>
    <t>评估期末时点</t>
  </si>
  <si>
    <t>评估期末时点</t>
    <phoneticPr fontId="12" type="noConversion"/>
  </si>
  <si>
    <t>评估期末</t>
    <phoneticPr fontId="12" type="noConversion"/>
  </si>
  <si>
    <t>4个季度</t>
  </si>
  <si>
    <t>4个季度</t>
    <phoneticPr fontId="3" type="noConversion"/>
  </si>
  <si>
    <t>评估期末时点</t>
    <phoneticPr fontId="3" type="noConversion"/>
  </si>
  <si>
    <t>评估期末时点</t>
    <phoneticPr fontId="3" type="noConversion"/>
  </si>
  <si>
    <t>2年</t>
    <phoneticPr fontId="3" type="noConversion"/>
  </si>
  <si>
    <t>12个月</t>
    <phoneticPr fontId="3" type="noConversion"/>
  </si>
  <si>
    <t>评估期内</t>
    <phoneticPr fontId="3" type="noConversion"/>
  </si>
  <si>
    <t>评估期内</t>
    <phoneticPr fontId="3" type="noConversion"/>
  </si>
  <si>
    <t>上一评估期</t>
    <phoneticPr fontId="3" type="noConversion"/>
  </si>
  <si>
    <t>总分</t>
    <phoneticPr fontId="3" type="noConversion"/>
  </si>
  <si>
    <t>4个季度</t>
    <phoneticPr fontId="3" type="noConversion"/>
  </si>
  <si>
    <t>评价项目</t>
    <phoneticPr fontId="3" type="noConversion"/>
  </si>
  <si>
    <t>分值</t>
  </si>
  <si>
    <t>指标说明</t>
    <phoneticPr fontId="23" type="noConversion"/>
  </si>
  <si>
    <t>评价标准</t>
    <phoneticPr fontId="3" type="noConversion"/>
  </si>
  <si>
    <t>报告期的实际净现金流</t>
    <phoneticPr fontId="3" type="noConversion"/>
  </si>
  <si>
    <t>保险公司报告期的净现金流量。</t>
    <phoneticPr fontId="23" type="noConversion"/>
  </si>
  <si>
    <t>净现金流量小于0，得0分；净现金流量大于等于0，得10分。</t>
  </si>
  <si>
    <t>在基本情景下未来预计净现金流</t>
    <phoneticPr fontId="3" type="noConversion"/>
  </si>
  <si>
    <t>保险公司在基本情景下未来一段期间内的净现金流量。</t>
    <phoneticPr fontId="3" type="noConversion"/>
  </si>
  <si>
    <t>（1）财产险公司和再保险公司，未来1季度、未来2季度、未来3季度、未来4季度的净现金流量每项小于0的，该项得0分；净现金流量每项大于等于0的，该项得2.5分。
（2）人身险公司，现金流测试范围为公司整体，未来1季度、未来2季度、未来3季度、未来4季度、报告日后第2年、报告日后第3年的净现金流量每项小于0的，该项得0分；未来1季度、未来2季度、未来3季度、未来4季度的净现金流量每项大于等于0的，该项得2分；报告日后第2年、报告日后第3年的净现金流量每项大于等于0的，该项得1分。</t>
  </si>
  <si>
    <t>保险公司在压力情景下未来一段时间内的净现金流量。</t>
    <phoneticPr fontId="3" type="noConversion"/>
  </si>
  <si>
    <t>（1）财产险公司和再保险公司，必测压力情景一、必测压力情景二下的未来1季度、未来2季度、未来3季度、未来4季度的净现金流量每项小于0的，该项得0分；净现金流量每项大于等于0的，该项得1.25分。
（2）人身险公司，现金流测试范围为公司整体，必测压力情景一、必测压力情景二下的未来1季度、未来2季度、未来3季度、未来4季度、报告日后第2年、报告日后第3年的净现金流量每项小于0的，该项得0分；必测压力情景一、必测压力情景二下的未来1季度、未来2季度、未来3季度、未来4季度的净现金流量每项大于等于0的，该项得1分；报告日后第2年、报告日后第3年的净现金流量每项大于等于0的，该项得0.5分。</t>
  </si>
  <si>
    <t>综合流动比率</t>
    <phoneticPr fontId="3" type="noConversion"/>
  </si>
  <si>
    <t>综合流动比率反映保险公司各项资产和负债在未来期间现金流分布情况以及现金流入和现金流出的匹配情况。
综合流动比率＝现有资产的预期现金流入合计/现有负债的预期现金流出合计*100%</t>
    <phoneticPr fontId="23" type="noConversion"/>
  </si>
  <si>
    <t>财产保险公司和再保险公司计算预期3个月内、1年内、1年以上3个期间项目的综合流动比率，计算结果大于等于100%的期间项目各得10分，小于100%的期间项目不得分；
人身保险公司计算3个月内、1年内、1年至3年内、3年至5年内、5年以上5个期间项目的综合流动比率，计算结果大于等于100%的期间项目各得6分，小于100%的期间项目不得分。</t>
  </si>
  <si>
    <t>未来1季度</t>
  </si>
  <si>
    <t>未来2季度</t>
  </si>
  <si>
    <t>未来3季度</t>
  </si>
  <si>
    <t>未来4季度</t>
  </si>
  <si>
    <t>报告日后第2年</t>
  </si>
  <si>
    <t>报告日后第3年</t>
  </si>
  <si>
    <t>必测压力情景1
净现金流量</t>
    <phoneticPr fontId="3" type="noConversion"/>
  </si>
  <si>
    <t>3个月内</t>
    <phoneticPr fontId="3" type="noConversion"/>
  </si>
  <si>
    <t>1年内</t>
    <phoneticPr fontId="3" type="noConversion"/>
  </si>
  <si>
    <t>将全部n家公司的销售人员责任追究指标按从小到大排序，根据排名Ri进行赋分，其中
1≤Ri&lt;[0.25∙n]，8分；
[0.25∙n]≤Ri&lt;[0.5∙n]，6分；
[0.5∙n]≤Ri&lt;[0.75∙n]，3分；
[0.75∙n]≤Ri&lt;n，0分。</t>
    <phoneticPr fontId="12" type="noConversion"/>
  </si>
  <si>
    <t>每发现一次，扣2分，扣完为止。</t>
    <phoneticPr fontId="3" type="noConversion"/>
  </si>
  <si>
    <t>每发现一次，扣3分，扣完为止。</t>
    <phoneticPr fontId="3" type="noConversion"/>
  </si>
  <si>
    <t>将全部n家公司各自接到的投诉占比指标按从小到大排序，根据排名Ri进行赋分，其中：
1≤Ri&lt;[0.2∙n]，10分；
[0.2∙n]≤Ri&lt;[0.4∙n]，7分；
[0.4∙n]≤Ri&lt;[0.6∙n]，5分；
[0.6∙n]≤Ri&lt;[0.8∙n]，3分；
[0.8∙n]≤Ri&lt;n，0分。</t>
    <phoneticPr fontId="12" type="noConversion"/>
  </si>
  <si>
    <t>将全部n家公司各自接到的投诉占比指标按从小到大排序，根据排名Ri进行赋分，其中：
1≤Ri&lt;[0.2∙n]，11分；
[0.2∙n]≤Ri&lt;[0.4∙n]，9分；
[0.4∙n]≤Ri&lt;[0.6∙n]，6分；
[0.6∙n]≤Ri&lt;[0.8∙n]，3分；
[0.8∙n]≤Ri&lt;n，0分。</t>
    <phoneticPr fontId="12" type="noConversion"/>
  </si>
  <si>
    <t>上一评估期内，总公司受到保险行政处罚的递延影响。</t>
    <phoneticPr fontId="3" type="noConversion"/>
  </si>
  <si>
    <t>1年至3年内</t>
    <phoneticPr fontId="3" type="noConversion"/>
  </si>
  <si>
    <t>3年至5年内</t>
    <phoneticPr fontId="3" type="noConversion"/>
  </si>
  <si>
    <t>5年以上</t>
    <phoneticPr fontId="3" type="noConversion"/>
  </si>
  <si>
    <t>流动性覆盖率反映保险公司在压力情景下未来一个季度的流动性水平，压力情景由保监会另行制定。
流动性覆盖率＝优质流动资产的期末账面价值/未来一个季度的净现金流*100%</t>
  </si>
  <si>
    <t>公司整体</t>
    <phoneticPr fontId="3" type="noConversion"/>
  </si>
  <si>
    <t>压力情景一下流动性覆盖率</t>
    <phoneticPr fontId="3" type="noConversion"/>
  </si>
  <si>
    <t>独立账户</t>
    <phoneticPr fontId="3" type="noConversion"/>
  </si>
  <si>
    <t>压力情景二下流动性覆盖率</t>
    <phoneticPr fontId="3" type="noConversion"/>
  </si>
  <si>
    <t>12个月</t>
    <phoneticPr fontId="12" type="noConversion"/>
  </si>
  <si>
    <t>必测压力情景2
净现金流量</t>
    <phoneticPr fontId="3" type="noConversion"/>
  </si>
  <si>
    <t>12个月</t>
    <phoneticPr fontId="12" type="noConversion"/>
  </si>
  <si>
    <t>总公司人力资源部</t>
    <phoneticPr fontId="3" type="noConversion"/>
  </si>
  <si>
    <t>总公司法律合规部</t>
    <phoneticPr fontId="3" type="noConversion"/>
  </si>
  <si>
    <t>总公司各个渠道</t>
    <phoneticPr fontId="3" type="noConversion"/>
  </si>
  <si>
    <t>总公司信息技术部</t>
    <phoneticPr fontId="3" type="noConversion"/>
  </si>
  <si>
    <t>流动性覆盖率的测试范围为公司整体和独立账户，压力情景分为压力情景一和压力情景二。压力情景一下公司整体流动性覆盖率、压力情景一下独立账户流动性覆盖率、压力情景二下公司整体流动性覆盖率、压力情景二下独立账户流动性覆盖率，每项满足：
流动性覆盖率≥2,得7.5分；1≤流动性覆盖率&lt;2，得6.25分；
0.8≤流动性覆盖率&lt;1，得3.75分；0.5≤流动性覆盖率&lt;0.8，得1.25分；流动性覆盖率&lt;0.5，得0分。</t>
    <phoneticPr fontId="3" type="noConversion"/>
  </si>
  <si>
    <t>总得分</t>
    <phoneticPr fontId="3" type="noConversion"/>
  </si>
  <si>
    <t>扣分</t>
    <phoneticPr fontId="3" type="noConversion"/>
  </si>
  <si>
    <t>百分制后</t>
    <phoneticPr fontId="3" type="noConversion"/>
  </si>
  <si>
    <t>对IRR总分影响</t>
    <phoneticPr fontId="3" type="noConversion"/>
  </si>
  <si>
    <t>行业水平确定可得</t>
    <phoneticPr fontId="12" type="noConversion"/>
  </si>
  <si>
    <t>监管评分</t>
    <phoneticPr fontId="12" type="noConversion"/>
  </si>
  <si>
    <t>行业评分无法确定</t>
    <phoneticPr fontId="12" type="noConversion"/>
  </si>
  <si>
    <t>扣分项</t>
    <phoneticPr fontId="12" type="noConversion"/>
  </si>
  <si>
    <t>扣分项</t>
    <phoneticPr fontId="3" type="noConversion"/>
  </si>
  <si>
    <t>设行业平均水平为θ，评分为：
x&lt;0.85∙θ，4分；
0.85∙θ≤x&lt;1.25∙θ，5分；
1.25∙θ≤x&lt;1.5∙θ，6分；
1.5∙θ≤x，7分。</t>
    <phoneticPr fontId="12" type="noConversion"/>
  </si>
  <si>
    <t xml:space="preserve">将全部n家公司的客户信息真实性比例按从小到大排序，根据排名Ri进行赋分，其中
1≤Ri&lt;[0.25∙n]，7分；
[0.25∙n]≤Ri&lt;[0.5∙n]，5分；
[0.5∙n]≤Ri&lt;[0.75∙n]，3分；
[0.75∙n]≤Ri≤n，1分；
</t>
    <phoneticPr fontId="12"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</si>
  <si>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12" type="noConversion"/>
  </si>
  <si>
    <t>3个月</t>
    <phoneticPr fontId="3" type="noConversion"/>
  </si>
  <si>
    <t>将全部n家公司的销售人员离职率按从小到大排序，根据排名Ri进行赋分，其中
1≤Ri&lt;[0.25∙n]，9分；
[0.25∙n]≤Ri&lt;[0.5∙n]，6分；
[0.5∙n]≤Ri&lt;[0.75∙n]，3分；
[0.75∙n]≤Ri≤n，0分。</t>
    <phoneticPr fontId="12" type="noConversion"/>
  </si>
  <si>
    <t>销售人员责任追究=(评估期内公司对销售人员实施内部责任追究的人次/评估期内行业对销售人员实施内部责任追究的人次)⁄(评估期公司规模保费/评估期行业规模保费)。
（1）评估期为评估时点之前的3个月。
（2）内部责任追究包括公司根据内部管理规定，针对销售人员的销售误导、侵占挪用保费、违法销售非保险金融理财产品等各类违法违规问题采取的纪律处分和经济处分。</t>
    <phoneticPr fontId="12" type="noConversion"/>
  </si>
  <si>
    <t>客户信息真实性比例=(评估期公司审核发现存在客户信息缺失、虚假问题的保单件数)/(评估期公司开展客户信息真实性审核的保单件数)。
（1）评估期为评估时点之前的3个月。
（2）按照《人身保险客户信息真实性管理暂行办法》第十五条的规定对客户信息的真实性进行审核。</t>
    <phoneticPr fontId="12" type="noConversion"/>
  </si>
  <si>
    <t>员工培训频率＝最近4个季度内员工培训人次/资产管理部门总人数；
员工培训人次指最近4个季度内保险公司组织资产管理部门人员参加的投资、偿付能力、风险管理等各类专业培训的次数，包括监管培训和内部培训。
资产管理部门人员指保险公司资产管理部门的人员。</t>
    <phoneticPr fontId="3" type="noConversion"/>
  </si>
  <si>
    <t>数据差错率＝数据差错金额绝对值之和/当期保费收入
数据差错金额指最近4个季度内保险公司财务系统与业务、再保、精算等系统之间出现数据差错的金额。</t>
    <phoneticPr fontId="3" type="noConversion"/>
  </si>
  <si>
    <t>评估时点之前12个月发现产品说明会销售误导事件的次数</t>
  </si>
  <si>
    <t>评估时点之前12个月发现组织参与非法集资事件的次数</t>
  </si>
  <si>
    <t>评估时点之前12个月发现通过盗用、伪造印鉴和保单进行诈骗的次数</t>
  </si>
  <si>
    <t>评估时点之前12个月发现侵占、挪用保费事件的次数</t>
  </si>
  <si>
    <t>评估时点之前12个月发现侵占、挪用保费或保险金的次数</t>
  </si>
  <si>
    <t>评估时点之前12个月系统发生故障次数</t>
  </si>
  <si>
    <t>评估时点之前12个月发现系统管控漏洞的次数</t>
  </si>
  <si>
    <t>评估时点之前12个月理赔、保全业务引发的群体性事件的数量</t>
  </si>
  <si>
    <t>具有三年以上工作经验的人员占比</t>
  </si>
  <si>
    <t>检查发现再保险业务数据出现差错次数</t>
  </si>
  <si>
    <t>检查发现准备金评估数据存在偏差次数</t>
  </si>
  <si>
    <t>检查发现准备金评估模型错误次数</t>
  </si>
  <si>
    <t>检查发现监管报告错误次数</t>
  </si>
  <si>
    <t>检查发现的合同纠纷次数</t>
  </si>
  <si>
    <t>被1-5家主流媒体报道的标题</t>
    <phoneticPr fontId="3" type="noConversion"/>
  </si>
  <si>
    <t>被6-10家主流媒体报道的标题</t>
    <phoneticPr fontId="3" type="noConversion"/>
  </si>
  <si>
    <t>被10家以上主流媒体报道的标题</t>
    <phoneticPr fontId="3" type="noConversion"/>
  </si>
  <si>
    <t>进行了负面舆情处置的报道的标题</t>
    <phoneticPr fontId="3" type="noConversion"/>
  </si>
  <si>
    <t>评估期内客户针对理赔、保全业务提起法律诉讼件数，以及败诉件数。                                     
（1）对案件败诉、胜诉的判断以承担诉讼（仲裁）费的比例为准，承担比例大于50%的为败诉，小于等于50%的为胜诉。                                   （2）评估期为评估时点之前12个月。</t>
    <phoneticPr fontId="12" type="noConversion"/>
  </si>
  <si>
    <t>指标类别</t>
    <phoneticPr fontId="3" type="noConversion"/>
  </si>
  <si>
    <t>分值</t>
    <phoneticPr fontId="3" type="noConversion"/>
  </si>
  <si>
    <t>附件1</t>
    <phoneticPr fontId="3" type="noConversion"/>
  </si>
  <si>
    <t>保险法人机构公司治理自评表</t>
    <phoneticPr fontId="3" type="noConversion"/>
  </si>
  <si>
    <t>指标事项</t>
  </si>
  <si>
    <t>指标说明</t>
  </si>
  <si>
    <t>自我评价</t>
    <phoneticPr fontId="3" type="noConversion"/>
  </si>
  <si>
    <t>得分</t>
    <phoneticPr fontId="3" type="noConversion"/>
  </si>
  <si>
    <t>职责边界</t>
  </si>
  <si>
    <t>股东（大）会、董事会和管理层职责</t>
  </si>
  <si>
    <t>股东（大）会、董事会和管理层的职责清晰</t>
    <phoneticPr fontId="3" type="noConversion"/>
  </si>
  <si>
    <t>是</t>
    <phoneticPr fontId="3" type="noConversion"/>
  </si>
  <si>
    <t>主要负责人权力制衡</t>
  </si>
  <si>
    <t>对主要负责人的授权明确</t>
    <phoneticPr fontId="3" type="noConversion"/>
  </si>
  <si>
    <t>对主要负责人的授权不过于集中</t>
    <phoneticPr fontId="3" type="noConversion"/>
  </si>
  <si>
    <t>内部授权体系</t>
  </si>
  <si>
    <t>重大决策有明确标准</t>
    <phoneticPr fontId="3" type="noConversion"/>
  </si>
  <si>
    <t>有明确的重大决策审议程序并实际执行</t>
    <phoneticPr fontId="3" type="noConversion"/>
  </si>
  <si>
    <t>部门设置及部门职责分工制度</t>
  </si>
  <si>
    <t>有明确制度界定各部门职责分工</t>
    <phoneticPr fontId="3" type="noConversion"/>
  </si>
  <si>
    <t>对分支机构授权</t>
  </si>
  <si>
    <t>公司的IT系统能对分支机构的财务、业务进行有效的监控</t>
    <phoneticPr fontId="3" type="noConversion"/>
  </si>
  <si>
    <t>胜任能力</t>
  </si>
  <si>
    <t>主要股东持续出资能力及股权结构稳定性</t>
  </si>
  <si>
    <t>主要股东在过去三年未连续亏损</t>
    <phoneticPr fontId="3" type="noConversion"/>
  </si>
  <si>
    <t>主要股东未频繁变更</t>
    <phoneticPr fontId="3" type="noConversion"/>
  </si>
  <si>
    <t>董事专业能力及董事会专业结构</t>
  </si>
  <si>
    <t>董事的能力和经验胜任</t>
    <phoneticPr fontId="3" type="noConversion"/>
  </si>
  <si>
    <t>董事会的专业结构合理</t>
    <phoneticPr fontId="3" type="noConversion"/>
  </si>
  <si>
    <t>监事会专业结构</t>
  </si>
  <si>
    <t>监事会的专业结构合理</t>
    <phoneticPr fontId="3" type="noConversion"/>
  </si>
  <si>
    <t>不适用</t>
    <phoneticPr fontId="3" type="noConversion"/>
  </si>
  <si>
    <t>管理层成员专业结构及配合能力</t>
    <phoneticPr fontId="3" type="noConversion"/>
  </si>
  <si>
    <t>管理层成员的经验和管理能力胜任</t>
    <phoneticPr fontId="3" type="noConversion"/>
  </si>
  <si>
    <t>管理层成员专业结构合理、团队配合协调</t>
    <phoneticPr fontId="3" type="noConversion"/>
  </si>
  <si>
    <t>董事、监事及高管人员培训</t>
  </si>
  <si>
    <t>建立了董事、监事和高管人员培训制度并严格执行</t>
    <phoneticPr fontId="3" type="noConversion"/>
  </si>
  <si>
    <t>否</t>
    <phoneticPr fontId="3" type="noConversion"/>
  </si>
  <si>
    <t>董事会及管理层稳定性</t>
  </si>
  <si>
    <t>董事会及管理层成员未频繁变动</t>
    <phoneticPr fontId="3" type="noConversion"/>
  </si>
  <si>
    <t>不存在董事长、总经理或关键岗位长期空缺的情况</t>
    <phoneticPr fontId="3" type="noConversion"/>
  </si>
  <si>
    <t>运行控制</t>
  </si>
  <si>
    <t>股东对公司业务和管理信息的获取及熟悉程度</t>
  </si>
  <si>
    <t>定期充分公平地向股东报送或披露公司业务、财务和管理信息</t>
    <phoneticPr fontId="3" type="noConversion"/>
  </si>
  <si>
    <t>及时充分地向股东披露公司重大事项</t>
    <phoneticPr fontId="3" type="noConversion"/>
  </si>
  <si>
    <t>董事对公司财务、业务和管理信息的获取及熟悉程度</t>
  </si>
  <si>
    <t>定期向董事报送公司业务、财务和管理信息</t>
    <phoneticPr fontId="3" type="noConversion"/>
  </si>
  <si>
    <t>对公司会计政策进行讨论，包括会计政策的合规性以及是否真实公允反映公司财务状况和经营成果等</t>
    <phoneticPr fontId="3" type="noConversion"/>
  </si>
  <si>
    <t>董事对公司重大事项知情</t>
    <phoneticPr fontId="3" type="noConversion"/>
  </si>
  <si>
    <t>运行控制</t>
    <phoneticPr fontId="3" type="noConversion"/>
  </si>
  <si>
    <t>董事会会议发言及表决情况</t>
  </si>
  <si>
    <t>董事会会议对议案进行详细说明</t>
    <phoneticPr fontId="3" type="noConversion"/>
  </si>
  <si>
    <t>董事相互尊重，积极充分地讨论议案</t>
    <phoneticPr fontId="3" type="noConversion"/>
  </si>
  <si>
    <t>董事积极发言并提出有价值的专业性意见或建议</t>
    <phoneticPr fontId="3" type="noConversion"/>
  </si>
  <si>
    <t>董事会对公司战略目标和业务计划执行情况的定期审查</t>
  </si>
  <si>
    <t>董事会制定清晰的公司战略目标并定期审查</t>
    <phoneticPr fontId="3" type="noConversion"/>
  </si>
  <si>
    <t>董事会定期审查管理层对业务、财务计划的执行情况</t>
    <phoneticPr fontId="3" type="noConversion"/>
  </si>
  <si>
    <t>公司经营预算和财务预算的制定情况</t>
  </si>
  <si>
    <t>董事会及时、认真制定公司经营预算和财务预算</t>
    <phoneticPr fontId="3" type="noConversion"/>
  </si>
  <si>
    <t>董事会对公司风险状况的定期评估</t>
  </si>
  <si>
    <t>董事会积极推动公司建立风险管理体系</t>
    <phoneticPr fontId="3" type="noConversion"/>
  </si>
  <si>
    <t>要求管理层定期报告风险管理工作及公司风险状况</t>
    <phoneticPr fontId="3" type="noConversion"/>
  </si>
  <si>
    <t>定期对公司风险状况进行全面评估并跟踪整改情况</t>
    <phoneticPr fontId="3" type="noConversion"/>
  </si>
  <si>
    <t>董事长与总经理的沟通协调</t>
  </si>
  <si>
    <t>董事长与总经理间工作沟通配合顺畅、协调</t>
    <phoneticPr fontId="3" type="noConversion"/>
  </si>
  <si>
    <t>专业委员会运作情况</t>
  </si>
  <si>
    <t>及时召开会议对重大事项进行专题审议</t>
    <phoneticPr fontId="3" type="noConversion"/>
  </si>
  <si>
    <t>对重大事项进行深入讨论形成专业意见并对风险作充分提示</t>
    <phoneticPr fontId="3" type="noConversion"/>
  </si>
  <si>
    <t>独立董事的独立性</t>
  </si>
  <si>
    <t>独立董事有充分的独立性</t>
    <phoneticPr fontId="3" type="noConversion"/>
  </si>
  <si>
    <t>独立董事的勤勉尽职情况</t>
  </si>
  <si>
    <t>独立董事对重大事项资料进行认真审议</t>
    <phoneticPr fontId="3" type="noConversion"/>
  </si>
  <si>
    <t>能有效的利用自己的知识、经验和专业技术，帮助公司解决所面临的问题</t>
    <phoneticPr fontId="3" type="noConversion"/>
  </si>
  <si>
    <t>能与其他董事进行有效沟通，并保持独立判断</t>
    <phoneticPr fontId="3" type="noConversion"/>
  </si>
  <si>
    <t>独立董事说明弃权或反对的原因</t>
    <phoneticPr fontId="3" type="noConversion"/>
  </si>
  <si>
    <t>法人事务管理情况</t>
    <phoneticPr fontId="3" type="noConversion"/>
  </si>
  <si>
    <t>资本规划和资本管理合理</t>
    <phoneticPr fontId="3" type="noConversion"/>
  </si>
  <si>
    <t>业务范围变更符合要求</t>
    <phoneticPr fontId="3" type="noConversion"/>
  </si>
  <si>
    <t>变更营业场所经保监会审批</t>
    <phoneticPr fontId="3" type="noConversion"/>
  </si>
  <si>
    <t>住所变更及时报备</t>
    <phoneticPr fontId="3" type="noConversion"/>
  </si>
  <si>
    <t>公司章程、股东名册及工商登记文件与实际情况一致</t>
    <phoneticPr fontId="3" type="noConversion"/>
  </si>
  <si>
    <t>股权管理情况</t>
    <phoneticPr fontId="3" type="noConversion"/>
  </si>
  <si>
    <t>无股权委托代持行为</t>
    <phoneticPr fontId="3" type="noConversion"/>
  </si>
  <si>
    <t>股权没有频繁、高比例质押</t>
    <phoneticPr fontId="3" type="noConversion"/>
  </si>
  <si>
    <t>及时将公司股东的控股股东、实际控制人及其变更情况和股东之间的关联关系报告保监会</t>
    <phoneticPr fontId="3" type="noConversion"/>
  </si>
  <si>
    <t>按照《保险公司股权管理办法》第22条要求，将股东相关事项及时报告保监会</t>
    <phoneticPr fontId="3" type="noConversion"/>
  </si>
  <si>
    <t>关联交易管理情况</t>
  </si>
  <si>
    <t>收集并及时更正关联方信息</t>
    <phoneticPr fontId="3" type="noConversion"/>
  </si>
  <si>
    <t>资金运用关联交易符合比例要求</t>
    <phoneticPr fontId="3" type="noConversion"/>
  </si>
  <si>
    <t>关联交易按照相关规定进行信息披露</t>
    <phoneticPr fontId="3" type="noConversion"/>
  </si>
  <si>
    <t>关联交易按规定进行内部审查</t>
    <phoneticPr fontId="3" type="noConversion"/>
  </si>
  <si>
    <t>每年对关联交易进行审计</t>
    <phoneticPr fontId="3" type="noConversion"/>
  </si>
  <si>
    <t>信息披露管理</t>
    <phoneticPr fontId="3" type="noConversion"/>
  </si>
  <si>
    <t>建立信息披露内部管理制度并报保监会</t>
    <phoneticPr fontId="3" type="noConversion"/>
  </si>
  <si>
    <t>指定专人负责信息披露事务</t>
    <phoneticPr fontId="3" type="noConversion"/>
  </si>
  <si>
    <t>根据保监会监管要求，在保险公司网站等信息披露载体上披露公司治理、风险管理、重大关联交易、重大事项和资金运用关联交易等信息</t>
    <phoneticPr fontId="3" type="noConversion"/>
  </si>
  <si>
    <t>考核激励</t>
    <phoneticPr fontId="3" type="noConversion"/>
  </si>
  <si>
    <t>董事、监事及高管薪酬水平</t>
  </si>
  <si>
    <t>薪酬水平与公司业务规模、盈利状况相匹配</t>
    <phoneticPr fontId="3" type="noConversion"/>
  </si>
  <si>
    <t>高管人员绩效考核指标的合理性</t>
  </si>
  <si>
    <t>考核指标纳入偿付能力、企业价值、业务质量及风险等因素</t>
    <phoneticPr fontId="3" type="noConversion"/>
  </si>
  <si>
    <t>考核结果能科学反映高管人员对公司的贡献</t>
    <phoneticPr fontId="3" type="noConversion"/>
  </si>
  <si>
    <t>董事会对高管业绩考核指标体系建立及执行的参与度</t>
  </si>
  <si>
    <t>高管人员薪酬考核指标由薪酬委员会主导制定</t>
    <phoneticPr fontId="3" type="noConversion"/>
  </si>
  <si>
    <t>薪酬管理情况</t>
  </si>
  <si>
    <t>薪酬管理程序严格明确</t>
    <phoneticPr fontId="3" type="noConversion"/>
  </si>
  <si>
    <t>不存在在业务计划执行末期调整考核标准的情形</t>
    <phoneticPr fontId="3" type="noConversion"/>
  </si>
  <si>
    <t>董事会自我评价制度的建立及执行情况</t>
  </si>
  <si>
    <t>已建立和落实董事会自我评价制度</t>
    <phoneticPr fontId="3" type="noConversion"/>
  </si>
  <si>
    <t>职务消费制度的建立及执行情况</t>
  </si>
  <si>
    <t>有明确制度规定高管人员职务消费并有效执行</t>
    <phoneticPr fontId="3" type="noConversion"/>
  </si>
  <si>
    <t>监督问责</t>
    <phoneticPr fontId="3" type="noConversion"/>
  </si>
  <si>
    <t>监事会对董事会决议及董事和高管人员行为的监督</t>
  </si>
  <si>
    <t>监事会能够对董事会决议提出意见或建议</t>
    <phoneticPr fontId="3" type="noConversion"/>
  </si>
  <si>
    <t>监事会对高管人员进行监督谈话或调查</t>
    <phoneticPr fontId="3" type="noConversion"/>
  </si>
  <si>
    <t>管理层及分支机构高管人员离任审计</t>
  </si>
  <si>
    <t>对管理层或分公司高管人员进行离任审计</t>
    <phoneticPr fontId="3" type="noConversion"/>
  </si>
  <si>
    <t>内审的健全性和独立性</t>
  </si>
  <si>
    <t>审计人员数量和结构符合监管要求或满足工作需要</t>
    <phoneticPr fontId="3" type="noConversion"/>
  </si>
  <si>
    <t>采取审计集中制或垂直管理</t>
    <phoneticPr fontId="3" type="noConversion"/>
  </si>
  <si>
    <t>内审工作的覆盖面和频率</t>
  </si>
  <si>
    <t>不存在主要业务单位连续两年未被审计的情况</t>
    <phoneticPr fontId="3" type="noConversion"/>
  </si>
  <si>
    <t>内审结果与薪酬考核、职务任免和责任追究的关联性</t>
  </si>
  <si>
    <t>建立了审计问题整改的跟踪、督促制度</t>
    <phoneticPr fontId="3" type="noConversion"/>
  </si>
  <si>
    <t>内审结果在被审计对象的考核任免中得到体现</t>
    <phoneticPr fontId="3" type="noConversion"/>
  </si>
  <si>
    <t>外部审计</t>
  </si>
  <si>
    <t>及时出具外审报告</t>
    <phoneticPr fontId="3" type="noConversion"/>
  </si>
  <si>
    <t>内部举报机制的健全性和有效性</t>
  </si>
  <si>
    <t>建立通畅的举报机制并及时处理举报</t>
    <phoneticPr fontId="3" type="noConversion"/>
  </si>
  <si>
    <t>重要工作岗位的委派制度</t>
  </si>
  <si>
    <t>建立人事、财务和审计等重要岗位的委派制度</t>
    <phoneticPr fontId="3" type="noConversion"/>
  </si>
  <si>
    <t>董事、监事及高管人员问责制度的建立和执行</t>
  </si>
  <si>
    <t>董事和高管人员没有违反公司章程、股东会决议及董事会决议的情形</t>
    <phoneticPr fontId="3" type="noConversion"/>
  </si>
  <si>
    <t>有明确制度规定董事、监事及高管人员的责任追究</t>
    <phoneticPr fontId="3" type="noConversion"/>
  </si>
  <si>
    <t>自评得分</t>
    <phoneticPr fontId="3" type="noConversion"/>
  </si>
  <si>
    <t>填报说明：</t>
  </si>
  <si>
    <t>1.由各公司在“自我评价”栏下填写“是”或“否”,其中，“是”得分，“否”不得分。</t>
    <phoneticPr fontId="3" type="noConversion"/>
  </si>
  <si>
    <t>2.人寿集团和出口信保对董事会的相关指标不予填报。阳光集团、太保集团、平安集团、中再集团及太平集团5家集团(控股)公司的下属子公司对独立董事、董事会专业委员会的相关指标可以不予填报。财产险公司、资产管理公司可以不填写总精算师指标。外资保险公司对独立董事、专业委员会、监事会相关指标可以暂不填报。外国保险公司在中国设立的分公司不参与评价。</t>
    <phoneticPr fontId="3" type="noConversion"/>
  </si>
  <si>
    <t>3.主要负责人包括董事长、首席执行官、总经理、财务负责人及与上述人员具有相同或相似职权的人。</t>
    <phoneticPr fontId="3" type="noConversion"/>
  </si>
  <si>
    <t>4.主要股东是指持有公司15%以上股份（上市公司为5%）或其持有股份不足15%（上市公司为5%），但以其出资额或持有的股份所享有的表决权足以对公司股东（大）会、董事会决议产生重大影响的股东。</t>
    <phoneticPr fontId="3" type="noConversion"/>
  </si>
  <si>
    <t>5.主要股东频繁变更是指在过去两年内，公司有两家以上主要股东的持股比例发生变化；董事和高管频繁变动是指在过去两年内公司有25%的董事和高管离职、职级或职责分工发生变动。</t>
    <phoneticPr fontId="3" type="noConversion"/>
  </si>
  <si>
    <t>6.关键岗位是指合规负责人、总精算师、财务负责人、审计责任人和财务部门负责人等。</t>
    <phoneticPr fontId="3" type="noConversion"/>
  </si>
  <si>
    <t>7.重大事项是指涉及利润分配、薪酬、董事和高管任免及占公司净资产的百分之一以上的重大投资及资产处置事项。</t>
    <phoneticPr fontId="3" type="noConversion"/>
  </si>
  <si>
    <t>8.“明确”、“清晰”、“胜任”、“合理”、“充分”等主观性指标的得分标准为：符合相关法律法规要求；与保险公司经营管理要求相匹配；独立董事认可。</t>
    <phoneticPr fontId="3" type="noConversion"/>
  </si>
  <si>
    <t>9.“频繁”指次数大于一次。</t>
    <phoneticPr fontId="3" type="noConversion"/>
  </si>
  <si>
    <t>10.各公司应按照实际情况开展自评，确保评分的真实性和准确性。</t>
    <phoneticPr fontId="3" type="noConversion"/>
  </si>
  <si>
    <t>11.各公司应于每年5月15日前报送《保险公司治理报告》时报送本表，《关于进一步规范报送〈保险公司治理报告〉的通知》（保监发改〔2015〕95号）附件中的《保险法人机构公司治理自评表》作废</t>
    <phoneticPr fontId="3" type="noConversion"/>
  </si>
  <si>
    <t>设行业平均水平为θ，待评价保险公司的风险事件合计次数为x，本项得分＝Min{ 10,  10-10×(x-θ)/θ }。</t>
    <phoneticPr fontId="3" type="noConversion"/>
  </si>
  <si>
    <t>风险事件合计次数（10分）</t>
    <phoneticPr fontId="3" type="noConversion"/>
  </si>
  <si>
    <t>未发现</t>
  </si>
  <si>
    <t>未发生</t>
    <phoneticPr fontId="12" type="noConversion"/>
  </si>
  <si>
    <t>人事铂金系统抽取数据</t>
  </si>
  <si>
    <t>各渠道提供</t>
  </si>
  <si>
    <t>HR提供报表</t>
    <phoneticPr fontId="3" type="noConversion"/>
  </si>
  <si>
    <t>会议通知</t>
    <phoneticPr fontId="3" type="noConversion"/>
  </si>
  <si>
    <t>1季度投资收益率计算错误，2季度已更正</t>
    <phoneticPr fontId="3" type="noConversion"/>
  </si>
  <si>
    <t>单证月报，台账</t>
    <phoneticPr fontId="3" type="noConversion"/>
  </si>
  <si>
    <t>取自Oracle财务系统老准则保费收入口径</t>
  </si>
  <si>
    <t>公司OA</t>
  </si>
  <si>
    <t>附件8：保险公司信息系统相关的操作风险评价标准</t>
    <phoneticPr fontId="12" type="noConversion"/>
  </si>
  <si>
    <t>评价指标</t>
    <phoneticPr fontId="3" type="noConversion"/>
  </si>
  <si>
    <t>评价点</t>
    <phoneticPr fontId="3" type="noConversion"/>
  </si>
  <si>
    <t>评分标准</t>
    <phoneticPr fontId="3" type="noConversion"/>
  </si>
  <si>
    <t>（一）信息化治理（本项目采取百分制，最后综合得分×15%，为该项监管内容的最终评分。）</t>
    <phoneticPr fontId="3" type="noConversion"/>
  </si>
  <si>
    <t>信息化目标与规划（10分）</t>
  </si>
  <si>
    <t>（1）工作目标与规划制定</t>
    <phoneticPr fontId="3" type="noConversion"/>
  </si>
  <si>
    <t>根据业务发展目标明确信息化目标和规划，3分；信息化规划得到批准，2分。</t>
  </si>
  <si>
    <t>（2）规划实施与定期评估</t>
    <phoneticPr fontId="3" type="noConversion"/>
  </si>
  <si>
    <t>根据信息化规划开展工作，3分；每年进行一次评估和审查，2分。</t>
  </si>
  <si>
    <t>信息化治理架构（40分）</t>
  </si>
  <si>
    <t>（1）董事会职责</t>
    <phoneticPr fontId="3" type="noConversion"/>
  </si>
  <si>
    <t>董事会对信息化工作重大决策，4分；掌握公司主要的信息化工作情况，每年审阅信息化工作年度报告，4分。</t>
  </si>
  <si>
    <t>（2）信息化工作委员会</t>
    <phoneticPr fontId="3" type="noConversion"/>
  </si>
  <si>
    <t>按照要求设立信息化工作委员会，4分；履行信息化工作委员会的各项职责，4分。</t>
  </si>
  <si>
    <t>（3）首席信息官</t>
    <phoneticPr fontId="3" type="noConversion"/>
  </si>
  <si>
    <t>设计首席信息官，4分；首席信息官履行各项职责，4分。</t>
  </si>
  <si>
    <t>（4）信息技术部门</t>
    <phoneticPr fontId="3" type="noConversion"/>
  </si>
  <si>
    <t>设立专职信息技术部门，4分；信息技术部门全面履行职责，4分。</t>
  </si>
  <si>
    <t>（5）信息化人员配备</t>
    <phoneticPr fontId="3" type="noConversion"/>
  </si>
  <si>
    <t>查看组织架构岗位设置与岗位职责说明，4分；岗位分离和职责权限限制，4分。</t>
  </si>
  <si>
    <t>信息化发展环境（50分）</t>
    <phoneticPr fontId="3" type="noConversion"/>
  </si>
  <si>
    <t>（1）信息化水平</t>
    <phoneticPr fontId="3" type="noConversion"/>
  </si>
  <si>
    <t>核心业务、财务、经营管理信息化，5分；核心业务系统、财务系统、经营管理系统无缝对接，5分。</t>
  </si>
  <si>
    <t>（2）信息化工作经费</t>
    <phoneticPr fontId="3" type="noConversion"/>
  </si>
  <si>
    <t>预算能够支撑信息化规划，10分。</t>
  </si>
  <si>
    <t>（3）信息化工作考核</t>
    <phoneticPr fontId="3" type="noConversion"/>
  </si>
  <si>
    <t>建立了信息化工作评价体系，5分；开展了信息化工作评价。5分。</t>
  </si>
  <si>
    <t>（4）信息技术能力</t>
    <phoneticPr fontId="3" type="noConversion"/>
  </si>
  <si>
    <t>具有专业的技术研究组织或者团队，或者结合业务自身需求积极引入新技术应用：4分；通过国家/国际标准组织认证：每通过一项得1分，最高3分；参加制定行业技术标准：每参与一项得1分，最高3分。</t>
  </si>
  <si>
    <t>（5）信息化人力资源规划与培训</t>
    <phoneticPr fontId="3" type="noConversion"/>
  </si>
  <si>
    <t>信息化人员比例合理，5分；培训考核，5分。</t>
    <phoneticPr fontId="3" type="noConversion"/>
  </si>
  <si>
    <t>（二）信息化风险管理（本项目采用百分制，最后综合得分×15%，为该项监管内容的最终评分。）</t>
    <phoneticPr fontId="3" type="noConversion"/>
  </si>
  <si>
    <t>信息化风险管理制度（20分）</t>
    <phoneticPr fontId="3" type="noConversion"/>
  </si>
  <si>
    <t>（1）风险管理制度体系</t>
    <phoneticPr fontId="3" type="noConversion"/>
  </si>
  <si>
    <t>具备规范的风险管理制度，覆盖信息化主要风险，8分；管理制度定期评审，4分；具备执行层面的技术标准和操作流程，8分。</t>
    <phoneticPr fontId="3" type="noConversion"/>
  </si>
  <si>
    <t>信息化风险识别与控制（40分）</t>
    <phoneticPr fontId="3" type="noConversion"/>
  </si>
  <si>
    <t>（1）技术风险</t>
    <phoneticPr fontId="3" type="noConversion"/>
  </si>
  <si>
    <t>（2）合规风险</t>
    <phoneticPr fontId="3" type="noConversion"/>
  </si>
  <si>
    <t>本年度无违法违规行为，8分。</t>
  </si>
  <si>
    <t>（3）声誉风险</t>
    <phoneticPr fontId="3" type="noConversion"/>
  </si>
  <si>
    <t>建立了与信息技术有关的客户投诉处理和调解的管理机制，4分；建立了与信息技术有关的声誉危机应对机制，4分。</t>
  </si>
  <si>
    <t>（4）知识产权</t>
    <phoneticPr fontId="3" type="noConversion"/>
  </si>
  <si>
    <t>软硬件产品均为正版化，4分；对自主研发的产品进行知识产权保护，4分。</t>
  </si>
  <si>
    <t>（5）风险提示与发布</t>
    <phoneticPr fontId="3" type="noConversion"/>
  </si>
  <si>
    <t>建立了信息化风险提示与发布的管理制度，4分；对近期发生过的风险事件已经按照保监会相关规定要求进行了排查与报送，4分。</t>
  </si>
  <si>
    <t>信息化风险内控（40分）</t>
    <phoneticPr fontId="3" type="noConversion"/>
  </si>
  <si>
    <t>（1）风险管理策略检查</t>
    <phoneticPr fontId="3" type="noConversion"/>
  </si>
  <si>
    <t>建立了对信息化风险管理策略执行情况的检查机制，4分；具有信息化风险管理策略执行情况的检查记录，4分。</t>
  </si>
  <si>
    <t>（2）风险评估</t>
    <phoneticPr fontId="3" type="noConversion"/>
  </si>
  <si>
    <t>建立了风险评估制度，4分；每年至少开展一次信息化风险评估：4分。</t>
  </si>
  <si>
    <t>（3）风险处置</t>
    <phoneticPr fontId="3" type="noConversion"/>
  </si>
  <si>
    <t>建立了风险处置流程，4分；建立了风险管理持续改进机制，4分。</t>
    <phoneticPr fontId="3" type="noConversion"/>
  </si>
  <si>
    <t>（4）与风险管理部门沟通</t>
    <phoneticPr fontId="3" type="noConversion"/>
  </si>
  <si>
    <t>建立了与风险管理相关职能部门沟通的机制，4分；具有与风险管理相关职能部门进行沟通的记录，4分。</t>
  </si>
  <si>
    <t>（5）风险监测和计量机制</t>
    <phoneticPr fontId="3" type="noConversion"/>
  </si>
  <si>
    <t>建立了风险监测和计量的方法，4分；有监测和计量记录，4分。</t>
  </si>
  <si>
    <t>（三）信息安全（本项目采用百分制，最后综合得分×20%，为该项监管内容的最终评分。）</t>
    <phoneticPr fontId="3" type="noConversion"/>
  </si>
  <si>
    <t>信息安全等级保护机制（10分）</t>
  </si>
  <si>
    <t>（1）定级备案</t>
    <phoneticPr fontId="3" type="noConversion"/>
  </si>
  <si>
    <t>对重要信息系统进行定级并备案，5分。</t>
  </si>
  <si>
    <t>（2）测评整改</t>
    <phoneticPr fontId="3" type="noConversion"/>
  </si>
  <si>
    <t>聘请具有资质的测评机构进行测评并通过，5分。</t>
  </si>
  <si>
    <t>物理安全（10分）</t>
  </si>
  <si>
    <t>（1）机房设施</t>
    <phoneticPr fontId="3" type="noConversion"/>
  </si>
  <si>
    <t>重要基础设施建设应符合国家《电子信息系统机房设计规范》A级要求，具备完善的供电、访问控制、防电磁、防雷、防水、防火、温湿度控制等措施，并配备环境自动监控系统，5分。</t>
  </si>
  <si>
    <t>（2）访问控制</t>
  </si>
  <si>
    <t>对物理区域进行合理的划分，2分；建立了物理安全访问控制机制，3分。</t>
  </si>
  <si>
    <t>网络安全（15分）</t>
  </si>
  <si>
    <t>（1）网络结构</t>
  </si>
  <si>
    <t>划分合理的网络区域，3分；具有网络带宽保障和设备、线路冗余备份措施，2分。</t>
  </si>
  <si>
    <t>（2）网络防护</t>
  </si>
  <si>
    <t>具有网络边界隔离措施，3分；具有网络安全防范措施与设备，2分。</t>
  </si>
  <si>
    <t>（3）网络安全审计</t>
  </si>
  <si>
    <t>具有网络审计日志记录，5分。</t>
  </si>
  <si>
    <t>主机安全（15分）</t>
  </si>
  <si>
    <t>（1）主机安全防护</t>
  </si>
  <si>
    <t>具有主机安全防护措施，主要包括系统最小化安装和补丁管理、身份鉴别、访问控制、恶意代码防范、资源控制等措施，5分；具有主机监控措施，5分。</t>
  </si>
  <si>
    <t>（2）主机安全审计</t>
  </si>
  <si>
    <t>具有审计日志记录，5分。</t>
  </si>
  <si>
    <t>应用安全（10分）</t>
  </si>
  <si>
    <t>（1）应用安全防护</t>
  </si>
  <si>
    <t>具有身份鉴别，访问和资源控制，通信安全等措施，5分。</t>
  </si>
  <si>
    <t>（2）应用安全审计</t>
  </si>
  <si>
    <t>数据安全（15分）</t>
  </si>
  <si>
    <t>（1）数据安全防护</t>
  </si>
  <si>
    <t>（2）数据管理与使用</t>
  </si>
  <si>
    <t>具有重要数据使用与流转的控制措施，3分。</t>
  </si>
  <si>
    <t>（3）重要数据安全审计</t>
  </si>
  <si>
    <t>具有重要数据安全审计机制与定期（至少每年一次）审计报告，2分。</t>
  </si>
  <si>
    <t>密码与算法（10分）</t>
  </si>
  <si>
    <t>（1）国产密码算法</t>
  </si>
  <si>
    <t>电子保单及保险各领域应用系统使用国产密码算法和支持国产密码算法的密码设备产品。在华外资机构按照“法人为主、标准引导、自主选择”的原则开展国产密码的应用推广工作。</t>
  </si>
  <si>
    <t>安全评估与自查（10分）</t>
  </si>
  <si>
    <t>（1）对外部安全风险态势和事件的响应</t>
    <phoneticPr fontId="3" type="noConversion"/>
  </si>
  <si>
    <t>具有外部重大安全风险事件排查记录和应对措施，4分。</t>
  </si>
  <si>
    <t>（2）信息安全控制措施执行情况的检查</t>
    <phoneticPr fontId="3" type="noConversion"/>
  </si>
  <si>
    <t>对安全策略、标准及制度的执行进行跟踪和检查的记录，6分。</t>
  </si>
  <si>
    <t>信息安全培训（5分）</t>
  </si>
  <si>
    <t>（1）信息安全培训</t>
  </si>
  <si>
    <t>有定期（至少每年一次）全员信息化安全方面的培训制度，2分；有定期全员培训的记录，3分。</t>
  </si>
  <si>
    <t>（四）信息系统开发与测试（本项目采用百分制，最后综合得分×10%，为该项监管内容的最终评分。）</t>
    <phoneticPr fontId="3" type="noConversion"/>
  </si>
  <si>
    <t>项目管理（50 分）</t>
  </si>
  <si>
    <t>（1）项目管理制度</t>
  </si>
  <si>
    <t>具有项目管理制度，5分；具有项目管理制度执行记录，5分。</t>
  </si>
  <si>
    <t>（2）项目风险评估</t>
  </si>
  <si>
    <t>（3）项目风险控制</t>
  </si>
  <si>
    <t>（4）项目群管理</t>
  </si>
  <si>
    <t>建立了项目群协调机制（如项目管理办公室PMO），2分；具有项目群管理执行流程，2分；具有子项目沟通协调机制，1分。</t>
  </si>
  <si>
    <t>开发管理（20 分）</t>
  </si>
  <si>
    <t>（1）需求和技术架构管理</t>
    <phoneticPr fontId="3" type="noConversion"/>
  </si>
  <si>
    <t>具有需求分析方案和可行性报告，2分；具有技术架构管理机制，2分。</t>
  </si>
  <si>
    <t>（2）开发质量保证</t>
  </si>
  <si>
    <t>（3）开发、测试、生产环境相互分离</t>
    <phoneticPr fontId="3" type="noConversion"/>
  </si>
  <si>
    <t xml:space="preserve">（4）开发过程检查 </t>
  </si>
  <si>
    <t>具有开发过程的检查记录，3分；具有完整性、恶意代码和后门程序的检查记录，2分；制定信息系统代码编写安全规范，3分。</t>
  </si>
  <si>
    <t xml:space="preserve">测试管理（20分） </t>
  </si>
  <si>
    <t>（1）测试的充分性</t>
  </si>
  <si>
    <t>具有完整的测试记录，测试包括单元测试、集成测试和验收测试；具有测试充分性的审核报告，4分。</t>
    <phoneticPr fontId="3" type="noConversion"/>
  </si>
  <si>
    <t xml:space="preserve">（2）测试的独立性 </t>
  </si>
  <si>
    <t>建立了独立于开发队伍的测试团队，4分；测试团队的测试人员中参与了项目开发活动，或测试用例由开发人员参与编写，本评价点不得分。</t>
  </si>
  <si>
    <t>（3）功能测试</t>
  </si>
  <si>
    <t>（4）非功能测试</t>
  </si>
  <si>
    <t>具有完整的非功能测试报告，非功能测试主要包括：配置和安装测试、兼容性和互操作性测试、文档和帮助测试、错误恢复测试、性能测试、可靠性测试、保密性测试、压力测试、可用性测试、容量测试，4分。</t>
  </si>
  <si>
    <t>（5）安全性测试</t>
  </si>
  <si>
    <t>具有完整的安全性测试文档，4分。</t>
  </si>
  <si>
    <t>验收和发布管理（10分）</t>
  </si>
  <si>
    <t>（1）系统测试验收</t>
  </si>
  <si>
    <t>系统发布前对测试的过程和充分性进行了审查并对测试质量进行了评估，2分。</t>
  </si>
  <si>
    <t>（2）系统版本交付物完整性验收</t>
  </si>
  <si>
    <t>对系统版本交付物的完整性进行了检查，检查的内容应该包括软件开发文档、发布计划、操作手册、部署环境和应急预案等文档，2分。</t>
  </si>
  <si>
    <t xml:space="preserve">（3）试运行 </t>
  </si>
  <si>
    <t xml:space="preserve">（4）发布管理 </t>
  </si>
  <si>
    <t>具有软件发布相关过程的文档以及上线审批记录，如版本计划、流程审核、用户通知等软件发布相关过程的文档以及上线审批记录，3分。</t>
    <phoneticPr fontId="3" type="noConversion"/>
  </si>
  <si>
    <t>（五）信息系统运行（本项目采取百分制，最后综合得分×18%，为该项监管内容的最终评分。）</t>
    <phoneticPr fontId="3" type="noConversion"/>
  </si>
  <si>
    <t>系统管理（20 分）</t>
  </si>
  <si>
    <t>（1）系统账户管理</t>
  </si>
  <si>
    <t>（2）系统性能监控</t>
  </si>
  <si>
    <t>建立了监控系统，并设定了系统重要监控参数和预警阈值（至少包含：CPU利用率、网络利用率、存储容量、系统状态），3分；具有峰值报警记录，具有性能状况、趋势的分析报告，2分。</t>
  </si>
  <si>
    <t>（3）日志管理与分析</t>
  </si>
  <si>
    <t>按规定保存日志记录，3分；具有定期分析日志的记录，2分。</t>
  </si>
  <si>
    <t>（4）运行报告</t>
  </si>
  <si>
    <t>具有重要系统运行报告；3分。具有将运行报告上报管理层的记录，2分。</t>
    <phoneticPr fontId="3" type="noConversion"/>
  </si>
  <si>
    <t>配置与变更管理（20分）</t>
  </si>
  <si>
    <t>（1）信息系统配置管理</t>
  </si>
  <si>
    <t>（2）信息系统变更管理</t>
  </si>
  <si>
    <t>具有变更管理制度与流程，3分；具有变更流程记录，4分；具有变更的应急回退计划，3分。</t>
  </si>
  <si>
    <t>事件管理（15分）</t>
  </si>
  <si>
    <t>（1）服务台管理</t>
  </si>
  <si>
    <t>建立了服务台及管理制度，2分；有服务台服务过程记录文档，3分。</t>
  </si>
  <si>
    <t>（2）事件与问题管理</t>
  </si>
  <si>
    <t>建立了事件与问题管理机制，4分；有问题管理处理过程记录文档，2分；建立了知识库，4分。</t>
  </si>
  <si>
    <t>基础设施运行管理（15分）</t>
  </si>
  <si>
    <t>（1）物理环境运行管理</t>
  </si>
  <si>
    <t>对物理设施的运行状态进行了管理，5分。</t>
  </si>
  <si>
    <t>（2）网络运行管理</t>
  </si>
  <si>
    <t>按照各类系统的重要性，定义了网络优先服务等级，2分；对网络性能进行了监控，3分。</t>
  </si>
  <si>
    <t>（3）设备与介质管理</t>
  </si>
  <si>
    <t>可用性管理（15分）</t>
  </si>
  <si>
    <t>（1）信息系统备份恢复管理</t>
  </si>
  <si>
    <t>建立了管理制度并有备份恢复记录，5分。</t>
  </si>
  <si>
    <t>（2）信息系统运行的风险排查</t>
  </si>
  <si>
    <t>具有排查记录，5分。</t>
  </si>
  <si>
    <t>（3）单点故障的排查</t>
  </si>
  <si>
    <t>运行维护管理平台(15分)</t>
    <phoneticPr fontId="3" type="noConversion"/>
  </si>
  <si>
    <t>（1）运行维护管理平台</t>
  </si>
  <si>
    <t>是否建立了运行维护管理平台，5分；所有运维工单是否通过运维平台进行电子化流转，5分；是否定期对运维工作进行评估与改进，5分。</t>
    <phoneticPr fontId="3" type="noConversion"/>
  </si>
  <si>
    <t>（六）灾难恢复（本项目采取百分制，最后综合得分×7%，为该项监管内容的最终评分。）</t>
    <phoneticPr fontId="3" type="noConversion"/>
  </si>
  <si>
    <t>需求分析和策略制定（20）</t>
  </si>
  <si>
    <t>（1）需求分析和风险分析</t>
  </si>
  <si>
    <t xml:space="preserve">具有内容全面的风险分析和业务影响分析报告，3分 ；灾难恢复需求再分析周期不超过3年，2分。                       </t>
  </si>
  <si>
    <t>（2）灾难恢复范围</t>
  </si>
  <si>
    <t>具有明确的灾难恢复范围，5分。</t>
  </si>
  <si>
    <t>（3）灾难恢复目标</t>
  </si>
  <si>
    <t>明确了应用系统的灾难恢复能力等级，以及具体的灾难恢复指标，至少包括RTO和RPO，5分。</t>
  </si>
  <si>
    <t>（4）灾难恢复策略</t>
  </si>
  <si>
    <t>具有完善的灾难恢复策略，3分；具有策略审核批准材料，2分。</t>
  </si>
  <si>
    <t>灾难恢复建设模式选择与备案（10分）</t>
  </si>
  <si>
    <t>（1）灾难恢复建设模式</t>
  </si>
  <si>
    <t>自建模式，5分；外包模式，且满足资质要求和外包管理要求，5分；共建模式，且满足共建模式要求，5分。保险机构选择三种建设模式中的一种或几种，本评价点最高得分不超过5分。</t>
    <phoneticPr fontId="3" type="noConversion"/>
  </si>
  <si>
    <t>（2）灾备中心设立备案</t>
  </si>
  <si>
    <t>已向中国保监会备案，5分。</t>
    <phoneticPr fontId="3" type="noConversion"/>
  </si>
  <si>
    <t>灾备中心建设（20分）</t>
  </si>
  <si>
    <t>（1）灾备中心选址</t>
  </si>
  <si>
    <t>灾难备份中心在中华人民共和国境内，5分。</t>
  </si>
  <si>
    <t>（2）灾备中心基础设施</t>
  </si>
  <si>
    <t>有完善的基础设施，5分。</t>
  </si>
  <si>
    <t>（3）灾备系统技术方案</t>
  </si>
  <si>
    <t>制定灾备系统技术方案，4分；定期灾备恢复测试，3分；技术支持体系完善，3分。</t>
  </si>
  <si>
    <t>灾备中心运维（20分）</t>
  </si>
  <si>
    <t>（1）运维制度与流程</t>
  </si>
  <si>
    <t xml:space="preserve">具有完善的运维管理制度和流程，5分。                                                       </t>
  </si>
  <si>
    <t>（2）运维队伍</t>
  </si>
  <si>
    <t>具有专业的运维队伍，5分。</t>
  </si>
  <si>
    <t>（3）检测维护</t>
  </si>
  <si>
    <t>具有定期检测和维护的记录，5分。</t>
  </si>
  <si>
    <t>（4）监控</t>
  </si>
  <si>
    <t>具有监控机制和记录，5分。</t>
  </si>
  <si>
    <t>灾难恢复预案建立与演练（20分）</t>
  </si>
  <si>
    <t>（1）灾难恢复预案</t>
  </si>
  <si>
    <t>预案的结构、内容和步骤清晰明确，其中：组织职责，2分； 灾难恢复过程，2分；所需资料和配套资源，2分。</t>
  </si>
  <si>
    <t>（2）预案演练</t>
  </si>
  <si>
    <t>具有演练记录，6分；具有总结评估报告，4分；频次低于要求，此评价点（分值）得分不超过5分。</t>
  </si>
  <si>
    <t>（3）预案维护</t>
  </si>
  <si>
    <t>预案有专人维护，1分；预案有更新机制和记录，2分；每年进行预案审查和批准，1分。</t>
  </si>
  <si>
    <t>应急响应和灾难恢复（10分）</t>
  </si>
  <si>
    <t>（1）应急机制的建立</t>
  </si>
  <si>
    <t>具有应急指挥处置组织和机制，4分。</t>
  </si>
  <si>
    <t>（2）信息系统重建方案</t>
  </si>
  <si>
    <t>具有明确的信息系统重建方案，2分。</t>
  </si>
  <si>
    <t>（3）灾难恢复总结</t>
  </si>
  <si>
    <t xml:space="preserve">具有灾难恢复总结报告与修订，2分。                                                       </t>
  </si>
  <si>
    <t>（4）第三方应急管理</t>
  </si>
  <si>
    <t>具有与第三方应急沟通机制和协议，2分。</t>
  </si>
  <si>
    <t>（七）外包与采购管理（本项目采取百分制，最后综合得分×5%，为该项监管内容的最终评分。）</t>
    <phoneticPr fontId="3" type="noConversion"/>
  </si>
  <si>
    <t>信息技术安全可控能力（20分）</t>
  </si>
  <si>
    <t>（1）信息技术外包事项</t>
  </si>
  <si>
    <t>信息系统安全管理责任未外包；对涉及国家安全信息、本机构商业秘密，以及客户隐私等敏感内容的信息系统进行外包经过本机构信息化工作委员会批准；数据中心、信息技术基础设施准备实施外包时书面材料正式报告中国保监会，10分。</t>
  </si>
  <si>
    <t>（2）信息产品安全可控程度</t>
  </si>
  <si>
    <t>重要系统和关键部位安全可控率达到10%，得1分；达到20%；得2分；以此类推，最高得10分。</t>
  </si>
  <si>
    <t>外包与采购服务（50分）</t>
  </si>
  <si>
    <t>（1）外包与采购管理制度</t>
  </si>
  <si>
    <t>制定了外包管理制度，10分；有外包服务审核流程及内外部的审计，5分；重要设施外包已报备保监会，5分。</t>
  </si>
  <si>
    <t>（2）外包与采购过程</t>
  </si>
  <si>
    <t>外包与采购过程和记录符合管理制度，10分。</t>
  </si>
  <si>
    <t>（3）外包服务商考核评估</t>
  </si>
  <si>
    <t>具有对外包服务商财务状况、技术实力、安全资质、风险控制水平、诚信记录和成功案例等的考核评估记录，5分；具有对外包服务质量及外包风险的评估报告，5分。</t>
  </si>
  <si>
    <t>（4）外包服务商管理</t>
  </si>
  <si>
    <t xml:space="preserve">具有外包服务商服务水平、服务规范性等方面的管理机制和管理记录，10分。                                                     </t>
  </si>
  <si>
    <t>外包软件开发（30分）</t>
  </si>
  <si>
    <t>（1）软件质量检测</t>
  </si>
  <si>
    <t>具有测试记录，5分；具有验收报告，5分。</t>
    <phoneticPr fontId="3" type="noConversion"/>
  </si>
  <si>
    <t>（2）源代码审查</t>
  </si>
  <si>
    <t>具有源代码审查报告，10分。</t>
  </si>
  <si>
    <t>（3）开发文档管理</t>
  </si>
  <si>
    <t>具有需求分析、软件设计说明书、软件操作手册等开发文档，10分。</t>
    <phoneticPr fontId="3" type="noConversion"/>
  </si>
  <si>
    <t>（八）互联网保险（本项目采取百分制，最后综合得分×5%，为该项监管内容的最终评分。）</t>
    <phoneticPr fontId="3" type="noConversion"/>
  </si>
  <si>
    <t>技术资质条件（20分）</t>
  </si>
  <si>
    <t>网络接入地点</t>
  </si>
  <si>
    <t>网络接入地在中华人民共和国境内（不含港、澳、台地区），10分。</t>
  </si>
  <si>
    <t>互联网主管部门备案</t>
  </si>
  <si>
    <t>互联网保险业务网站依法取得互联网行业主管部门颁发的互联网信息服务增值电信业务经营许可证，或者在互联网行业主管部门完成网站备案，5分。</t>
  </si>
  <si>
    <t>第三方平台技术资质条件</t>
  </si>
  <si>
    <t>基于第三方平台开展互联网保险业务，确认第三方平台满足上述技术资质条件，5分。</t>
  </si>
  <si>
    <t>网站技术安全保障（60分）</t>
  </si>
  <si>
    <t>客户端安全</t>
  </si>
  <si>
    <t>客户端软件具有完整性、程序逻辑机密性和数据安全技术措施，3分；客户端软件定期进行评估，2分。</t>
  </si>
  <si>
    <t>交易认证手段</t>
  </si>
  <si>
    <t>具有身份鉴别、交易认证手段，5分；身份鉴别和交易认证手段应满足监管要求和业界规范，5分。</t>
  </si>
  <si>
    <t>交易请求验证</t>
  </si>
  <si>
    <t>交易具有请求入口和权限控制措施，5分 ；具有服务器端请求数据检查措施，5分。</t>
  </si>
  <si>
    <t>网络安全防护</t>
  </si>
  <si>
    <t>具有合理的网络安全防护措施，10分。</t>
  </si>
  <si>
    <t>定期风险评估</t>
  </si>
  <si>
    <t>每年进行风险评估，5分。</t>
  </si>
  <si>
    <t>数据安全保护</t>
  </si>
  <si>
    <t>具有保护客户端输入信息的技术措施，4分 ；具有保证机构返回到客户端重要信息完整性的技术措施，4分；具有防钓鱼欺诈措施，2分。</t>
  </si>
  <si>
    <t>支付指令安全控制</t>
  </si>
  <si>
    <t>具有确保交易指令安全的措施，10分。</t>
  </si>
  <si>
    <t>第三方平台网站技术安全保障</t>
  </si>
  <si>
    <t>或者60</t>
    <phoneticPr fontId="3" type="noConversion"/>
  </si>
  <si>
    <t>如果基于第三方平台开展互联网保险业务，不单独评价1-7项，保险机构自行评估或者通过协议确认第三方平台满足上述技术安全保障措施，60分。注：自建网站，不填写该项。</t>
    <phoneticPr fontId="3" type="noConversion"/>
  </si>
  <si>
    <t>内容安全和风险提示（20分）</t>
    <phoneticPr fontId="3" type="noConversion"/>
  </si>
  <si>
    <t>内容管理</t>
  </si>
  <si>
    <t>具有内容发布和变更流程，10分。</t>
  </si>
  <si>
    <t>客户宣传和提示</t>
  </si>
  <si>
    <t>具有客户宣传和提示手段，5分。</t>
  </si>
  <si>
    <t>假冒网站管理</t>
  </si>
  <si>
    <t>有检查报告，5分。</t>
  </si>
  <si>
    <t>（九）信息技术审计（本项目采取百分制，最后综合得分×5%，为该项监管内容的最终评分。）</t>
    <phoneticPr fontId="3" type="noConversion"/>
  </si>
  <si>
    <t xml:space="preserve">审计组织与计划（25分） </t>
  </si>
  <si>
    <t>（1）审计部门</t>
    <phoneticPr fontId="3" type="noConversion"/>
  </si>
  <si>
    <t>设立独立于信息技术部门的信息化审计部门或者审计岗位，可以是设在公司审计部门或者其他部门，5分。</t>
  </si>
  <si>
    <t>（2）信息技术审计制度</t>
  </si>
  <si>
    <t>制定信息技术审计制度，规范审计目标、范围、流程和周期，6分。</t>
  </si>
  <si>
    <t>（3）信息技术审计计划</t>
  </si>
  <si>
    <t>制订了本年度审计计划，计划内容至少包括审计覆盖层面、审计性质、审计目标、审计范围及工作计划，4分。</t>
  </si>
  <si>
    <t>（4）信息技术外部审计</t>
    <phoneticPr fontId="3" type="noConversion"/>
  </si>
  <si>
    <t>外部审计机构和审计人员具备审计资质，10分。</t>
    <phoneticPr fontId="3" type="noConversion"/>
  </si>
  <si>
    <t xml:space="preserve">信息技术一般控制审计（20 分） </t>
  </si>
  <si>
    <t>（1）信息化规划及其实施情况的审计</t>
  </si>
  <si>
    <t>审计报告中含信息化规划及其实施情况，5分。</t>
  </si>
  <si>
    <t>（2）信息安全审计</t>
  </si>
  <si>
    <t>审计报告中包含信息安全管理制度和措施执行和有效性情况，10分。</t>
  </si>
  <si>
    <t>（3）对灾难恢复工作的审计</t>
  </si>
  <si>
    <t>审计报告中含灾难恢复工作的审计，5分。</t>
  </si>
  <si>
    <t>信息技术应用控制审计（15分）</t>
  </si>
  <si>
    <t xml:space="preserve">（1）信息技术应用控制审计 </t>
  </si>
  <si>
    <t>以保险业务流程为核心，根据业务流程风险管理要求，对应用系统访问控制、职责分离、输入控制、处理控制、输出控制机制进行了审计，15分。</t>
  </si>
  <si>
    <t>信息技术审计报告与备案（10分）</t>
  </si>
  <si>
    <t xml:space="preserve">（1）向管理层报告 </t>
  </si>
  <si>
    <t>具有管理层确认审计报告的记录，2分。</t>
  </si>
  <si>
    <t>（2）向保监会备案</t>
  </si>
  <si>
    <t>每两年向保监会备案信息技术审计报告，4分；每三年向保监会备案灾难恢复工作专项审计报告，4分。</t>
  </si>
  <si>
    <t>信息技术审计监控与后续跟进（30分）</t>
  </si>
  <si>
    <t xml:space="preserve">（1）审计结果反馈 </t>
  </si>
  <si>
    <t>管理层根据审计意见提出了具体的整改要求，10分。</t>
  </si>
  <si>
    <t>（2）整改计划落实</t>
  </si>
  <si>
    <t>提出了整改计划，2分；落实了整改计划，8分。</t>
  </si>
  <si>
    <t>（3）整改跟踪审计</t>
  </si>
  <si>
    <t>整改效果达到了管理层确定的整改要求，10分；后续审计意见没有管理层确认的记录，本评价点不得分。</t>
  </si>
  <si>
    <t>（十）扣分项目</t>
    <phoneticPr fontId="3" type="noConversion"/>
  </si>
  <si>
    <t>保险机构未按照保监会要求通过信息化风险监管系统报送信息化风险监管报表数据，存在严重拒报、迟报、漏报、瞒报、虚报、误报等行为的，视情节严重程度扣减1-10分。</t>
    <phoneticPr fontId="3" type="noConversion"/>
  </si>
  <si>
    <t>保险机构未按照保监会要求通过中国保险统计信息系统报送统计数据快报、月报、季报、半年报，存在拒报、迟报、漏报、瞒报、虚报、误报等行为的，视情节严重程度扣减1-10分。</t>
    <phoneticPr fontId="3" type="noConversion"/>
  </si>
  <si>
    <t>对于发生重大信息安全事件，未采取应急处理措施或者应急处理不力，对保险业造成重大损失或者不良影响的，视情节严重程度扣减10-30分。</t>
    <phoneticPr fontId="3" type="noConversion"/>
  </si>
  <si>
    <t>在保监会和相关信息安全监管机构检查过程中发现重大风险的，扣减对应评价指标项的分值。</t>
    <phoneticPr fontId="3" type="noConversion"/>
  </si>
  <si>
    <t>拒绝或者妨碍保监会依法进行网络安全与信息化工作进行检查监督的，视情节严重程度扣减10-30分。</t>
    <phoneticPr fontId="3" type="noConversion"/>
  </si>
  <si>
    <t>总公司投资部，信息技术部</t>
  </si>
  <si>
    <t>总公司投资部，信息技术部</t>
    <phoneticPr fontId="3" type="noConversion"/>
  </si>
  <si>
    <t xml:space="preserve">根据《保险资产运用管理暂行办法》（保监会令2014年第3号），保险公司应实行集中交易制度，严格隔离投资决策与交易执行，构建符合相关要求的集中交易监测系统、预警系统和反馈系统。
</t>
    <phoneticPr fontId="3" type="noConversion"/>
  </si>
  <si>
    <t>保险公司自行投资的，建立完善的交易记录制度，每日对交易记录及时核对并存档的，得1分；否则，得0分。保险公司委托投资的，能够提供受托机构相关证明材料的，得1分；否则，得0分。</t>
    <phoneticPr fontId="3" type="noConversion"/>
  </si>
  <si>
    <t>总公司财务部</t>
    <phoneticPr fontId="3" type="noConversion"/>
  </si>
  <si>
    <t>月度非法集资报表</t>
    <phoneticPr fontId="12" type="noConversion"/>
  </si>
  <si>
    <t>附件11：保险公司战略风险评价标准</t>
    <phoneticPr fontId="3" type="noConversion"/>
  </si>
  <si>
    <t>评价指标</t>
  </si>
  <si>
    <t>评分标准</t>
  </si>
  <si>
    <t>规划机制（6分）</t>
    <phoneticPr fontId="12" type="noConversion"/>
  </si>
  <si>
    <t>工作机制</t>
  </si>
  <si>
    <t>建立发展规划委员会（或明确其他专业委员会），设置专职部门（或指定相关部门）</t>
  </si>
  <si>
    <t>董事会秘书</t>
  </si>
  <si>
    <t>尽职情况</t>
  </si>
  <si>
    <t>规划要素（20分）</t>
    <phoneticPr fontId="12" type="noConversion"/>
  </si>
  <si>
    <t>战略目标</t>
  </si>
  <si>
    <t>战略定位清晰，发展目标切实可行</t>
    <phoneticPr fontId="12" type="noConversion"/>
  </si>
  <si>
    <t>经营领域</t>
    <phoneticPr fontId="12" type="noConversion"/>
  </si>
  <si>
    <t>主营和非主营业务领域符合监管要求，非主营业务清晰，可行性论证充分，与公司经营状况、管理水平和人才储备情况相匹配</t>
    <phoneticPr fontId="12" type="noConversion"/>
  </si>
  <si>
    <t>业务发展</t>
  </si>
  <si>
    <t>业务规模、结构、渠道等（保险集团包括非保险金融类企业和非金融类企业发展规划）</t>
  </si>
  <si>
    <t>机构发展</t>
  </si>
  <si>
    <t>经营区域范围、分支机构类型等（保险集团拟进入和退出的行业领域）</t>
  </si>
  <si>
    <t>偿付能力管理</t>
  </si>
  <si>
    <t>资本管理</t>
  </si>
  <si>
    <t>风险管理</t>
  </si>
  <si>
    <t>基础管理</t>
  </si>
  <si>
    <t>保障措施</t>
  </si>
  <si>
    <t>制定程序（6分）</t>
    <phoneticPr fontId="3" type="noConversion"/>
  </si>
  <si>
    <t>制定</t>
  </si>
  <si>
    <t>充分研究论证</t>
  </si>
  <si>
    <t>审议</t>
  </si>
  <si>
    <t>听取主要股东和监事会意见</t>
  </si>
  <si>
    <t>规划报董事会审议</t>
  </si>
  <si>
    <t>经股东大会（创立大会）通过</t>
  </si>
  <si>
    <t>调整频率（5分）</t>
    <phoneticPr fontId="3" type="noConversion"/>
  </si>
  <si>
    <t>年度调整</t>
  </si>
  <si>
    <t>次数≤1</t>
  </si>
  <si>
    <t>规划实施（32分）</t>
    <phoneticPr fontId="3" type="noConversion"/>
  </si>
  <si>
    <t>任务分解</t>
  </si>
  <si>
    <t>制定年度分解任务和落实措施</t>
  </si>
  <si>
    <t>报董事会和经理层通过</t>
  </si>
  <si>
    <t>分支机构</t>
  </si>
  <si>
    <t>新设机构符合发展规划</t>
  </si>
  <si>
    <t>日常监测</t>
  </si>
  <si>
    <t>开展季度分析并报董事会和经理层</t>
  </si>
  <si>
    <t>内容调整</t>
  </si>
  <si>
    <t>规划部门提出调整建议报董事会审议</t>
  </si>
  <si>
    <t>重大事项调整说明清楚、详尽、理由充分</t>
  </si>
  <si>
    <t>年度考核</t>
  </si>
  <si>
    <t>制定方案，完成年度考核报告，
结果报董事会和公司经理层</t>
  </si>
  <si>
    <t>考核报告符合实际，责任清晰，措施得当</t>
  </si>
  <si>
    <t>评估工作（16分）</t>
    <phoneticPr fontId="3" type="noConversion"/>
  </si>
  <si>
    <t>组织评估</t>
  </si>
  <si>
    <t>制定方案，开展评估，并将结果报董事会审议</t>
  </si>
  <si>
    <t>监事会意见</t>
  </si>
  <si>
    <t>监事会审议规划年度实施情况并提出意见</t>
  </si>
  <si>
    <t>评估报告</t>
  </si>
  <si>
    <t>对照规划要素全面评估</t>
  </si>
  <si>
    <t>说明保费收入、总资产、利润率、偿付能力充足率、分支机构建设等重要指标年度完成情况，并与规划目标进行差异分析</t>
  </si>
  <si>
    <t>材料报送（15分）</t>
    <phoneticPr fontId="3" type="noConversion"/>
  </si>
  <si>
    <t>报送时间</t>
  </si>
  <si>
    <t>按时报送保险公司发展规划、调整说明
和评估报告</t>
  </si>
  <si>
    <t>附件9：保险公司案件管理相关的操作风险评价标准</t>
    <phoneticPr fontId="12" type="noConversion"/>
  </si>
  <si>
    <t>评价项目</t>
    <phoneticPr fontId="12" type="noConversion"/>
  </si>
  <si>
    <t>评价指标</t>
    <phoneticPr fontId="3" type="noConversion"/>
  </si>
  <si>
    <t>分值</t>
    <phoneticPr fontId="12" type="noConversion"/>
  </si>
  <si>
    <t>指标说明</t>
    <phoneticPr fontId="12" type="noConversion"/>
  </si>
  <si>
    <t>评价标准</t>
    <phoneticPr fontId="12" type="noConversion"/>
  </si>
  <si>
    <t xml:space="preserve">洗钱风险（20分）
</t>
    <phoneticPr fontId="3" type="noConversion"/>
  </si>
  <si>
    <t>机构人员</t>
    <phoneticPr fontId="3" type="noConversion"/>
  </si>
  <si>
    <t>设置反洗钱专门机构或者指定内设机构，设立反洗钱岗位</t>
    <phoneticPr fontId="12" type="noConversion"/>
  </si>
  <si>
    <t>基础分3分，最高3分，最低0分。分别统计产险、寿险公司百亿元保费反洗钱人员配置数量，计算被评价公司百亿元保费反洗钱人员配置人数并与之相比较，每低于平均数50%扣1.5分，最多扣3分。</t>
    <phoneticPr fontId="3" type="noConversion"/>
  </si>
  <si>
    <t>客户身份识别</t>
    <phoneticPr fontId="12" type="noConversion"/>
  </si>
  <si>
    <t>按照规定开展客户身份识别工作</t>
    <phoneticPr fontId="3" type="noConversion"/>
  </si>
  <si>
    <t>基础分4分，最高4分，最低0分。分别统计产险、寿险公司达到识别金额以上的百亿元保费平均识别件数，计算被评价公司百亿元保费识别件数并与之相比较，每低于平均数50%扣2分，最多扣4分。</t>
    <phoneticPr fontId="3" type="noConversion"/>
  </si>
  <si>
    <t>大额和可疑交易报告</t>
    <phoneticPr fontId="3" type="noConversion"/>
  </si>
  <si>
    <t>1.及时、准确报送大额交易和可疑交易</t>
    <phoneticPr fontId="3" type="noConversion"/>
  </si>
  <si>
    <t>基础分4分，最高4分，最低0分。1.分别统计产险、寿险公司百亿元保费可疑交易报告平均件数，计算被评价公司百亿元保费报告件数并与之相比较，每低于平均数50%扣1分，最多扣2分；2.根据反洗钱监测分析中心保险机构大额和可疑交易报告通报情况，受批评公司扣2分。</t>
    <phoneticPr fontId="3" type="noConversion"/>
  </si>
  <si>
    <t>2.报送的可疑交易质量高</t>
    <phoneticPr fontId="12" type="noConversion"/>
  </si>
  <si>
    <t>洗钱案件</t>
    <phoneticPr fontId="12" type="noConversion"/>
  </si>
  <si>
    <t>协助发现洗钱案件，对已发生洗钱案件报告了可疑交易报告</t>
    <phoneticPr fontId="12" type="noConversion"/>
  </si>
  <si>
    <t xml:space="preserve">基础分4分，最高4分，最低0分。公司发生洗钱案件，在查证之前，公司存在应报未报可疑交易情形的，每件扣1分，最多扣4分。应报未报可疑交易情形包括：（1）客户投保金额50万元以上；（2）客户投保理财型保险产品；（3）客户为恐怖组织或恐怖分子；（4）其他具有明显可疑情形的。
</t>
    <phoneticPr fontId="12" type="noConversion"/>
  </si>
  <si>
    <t>信息报送</t>
    <phoneticPr fontId="3" type="noConversion"/>
  </si>
  <si>
    <t>及时、准确、规范报送监管机构要求的反洗钱信息</t>
    <phoneticPr fontId="3" type="noConversion"/>
  </si>
  <si>
    <t>基础分2分，最高2分，最低0分。在反洗钱信息报送工作中迟报、漏报、不报的扣1分，连续两次迟报、漏报、不报的扣2分。</t>
    <phoneticPr fontId="3" type="noConversion"/>
  </si>
  <si>
    <t>奖惩情况</t>
    <phoneticPr fontId="3" type="noConversion"/>
  </si>
  <si>
    <t>1.在人民银行、保监会系统组织的反洗钱评比中获得荣誉，或因协助发现重大洗钱案件获得人民银行、司法机关等部门书面表扬或荣誉</t>
    <phoneticPr fontId="3" type="noConversion"/>
  </si>
  <si>
    <t>基础分1分，最高3分，最低0分。1.公司各级机构在人民银行、保监会系统组织的反洗钱评比中获得荣誉，或因协助发现重大洗钱案件获得人民银行、司法机关等部门书面表扬或荣誉的，每次加1分，最多加2分；2.公司在人民银行组织的反洗钱检查中受到行政处罚，扣1分。</t>
    <phoneticPr fontId="3" type="noConversion"/>
  </si>
  <si>
    <t>2.反洗钱工作受到人民银行行政处罚</t>
    <phoneticPr fontId="3" type="noConversion"/>
  </si>
  <si>
    <t xml:space="preserve">保险欺诈风险（30分）
</t>
    <phoneticPr fontId="3" type="noConversion"/>
  </si>
  <si>
    <t>制度建设</t>
    <phoneticPr fontId="12" type="noConversion"/>
  </si>
  <si>
    <t>健全反保险欺诈制度</t>
    <phoneticPr fontId="12" type="noConversion"/>
  </si>
  <si>
    <t>基础分5分，最高分5分，最低分0分。1.未制定与业务种类、规模以及性质相适应的欺诈风险管理制度，扣2分；2.未对交易对手欺诈风险的评估、识别和管控建立制度规范，扣1分；3.未建立欺诈案件调查和协查制度，扣2分。</t>
    <phoneticPr fontId="3" type="noConversion"/>
  </si>
  <si>
    <t>组织体系</t>
    <phoneticPr fontId="12" type="noConversion"/>
  </si>
  <si>
    <t>完善反保险欺诈组织体系</t>
    <phoneticPr fontId="12" type="noConversion"/>
  </si>
  <si>
    <t>基础分5分，最高分5分，最低分0分。1.总公司未设立专门的部门或指定内设机构作为反欺诈职能部门，扣2分；2.省级分支机构未设立反欺诈岗位，1个省级分支机构扣0.5分，最高扣3分。</t>
    <phoneticPr fontId="3" type="noConversion"/>
  </si>
  <si>
    <t>预防欺诈风险</t>
    <phoneticPr fontId="12" type="noConversion"/>
  </si>
  <si>
    <t>强化保险欺诈风险监测与评估</t>
    <phoneticPr fontId="12" type="noConversion"/>
  </si>
  <si>
    <t>基础分5分，最高分5分，最低分0分。1.未定期分析、评估公司整体的欺诈风险状况，扣3分；2.内部审计部门未检查或评估公司欺诈风险管理体系运行情况和运行效果，监督欺诈风险管理政策的执行情况，扣2分。</t>
    <phoneticPr fontId="3" type="noConversion"/>
  </si>
  <si>
    <t>处置欺诈风险</t>
    <phoneticPr fontId="12" type="noConversion"/>
  </si>
  <si>
    <t>主动处置保险欺诈风险</t>
    <phoneticPr fontId="12" type="noConversion"/>
  </si>
  <si>
    <t>基础分10分，最高分10分，最低分0分。1.未建立保险欺诈行为的举报投诉渠道，扣2分；2.保险公司每漏报、迟报1起保险欺诈类风险案件扣0.5分，瞒报1起扣2分，最高扣4分；3.未对保险欺诈责任人进行责任追究或案件移送的，扣4分。</t>
    <phoneticPr fontId="3" type="noConversion"/>
  </si>
  <si>
    <t>信息系统</t>
    <phoneticPr fontId="12" type="noConversion"/>
  </si>
  <si>
    <t>借助信息系统防控保险欺诈风险</t>
    <phoneticPr fontId="12" type="noConversion"/>
  </si>
  <si>
    <t>基础分5分，最高分5分，最低分0分。1.未建立欺诈风险的识别、计量、监测和控制的信息系统，或者现有的信息系统未嵌入上述功能，扣2分；2.未按监管规定要求向反保险欺诈系统平台报送数据，存在错报、漏报、报送不规范的，扣3分。</t>
    <phoneticPr fontId="3" type="noConversion"/>
  </si>
  <si>
    <t xml:space="preserve">刑事案件风险（50分）
</t>
    <phoneticPr fontId="3" type="noConversion"/>
  </si>
  <si>
    <t>百亿元保费案件数</t>
    <phoneticPr fontId="12" type="noConversion"/>
  </si>
  <si>
    <t>截至季末累计案件数÷截至季末累计原保险保费收入（单位：件/百亿元）</t>
    <phoneticPr fontId="12" type="noConversion"/>
  </si>
  <si>
    <t>R为公司指标值，N为行业平均值：
R≤N，不扣分
N＜R≤1.5N，扣2分
1.5N＜R≤2N，扣4分
2N＜R≤3N，扣6分
3N＜R，扣8分</t>
    <phoneticPr fontId="12" type="noConversion"/>
  </si>
  <si>
    <t>案发机构占比</t>
    <phoneticPr fontId="12" type="noConversion"/>
  </si>
  <si>
    <t>截至季末发案省公司数÷季末省公司数×100%</t>
    <phoneticPr fontId="12" type="noConversion"/>
  </si>
  <si>
    <t>1.未发生刑事案件的公司，不扣分；
2.发生刑事案件的公司计分方式为：
R为排名，N为发案公司总数：
R≤20%N，扣1分
20%N＜R≤40%N，扣3分
40%N＜R≤60%N，扣5分
60%N＜R≤80%N，扣7分
80%N＜R，扣9分</t>
    <phoneticPr fontId="3" type="noConversion"/>
  </si>
  <si>
    <t>重大案件情况</t>
    <phoneticPr fontId="12" type="noConversion"/>
  </si>
  <si>
    <t>截至季末累计发生涉案金额100万元及以上案件的情况。</t>
    <phoneticPr fontId="12" type="noConversion"/>
  </si>
  <si>
    <t>S为涉案金额，每发生1件扣分标准为：
100万元≤S＜500万元，扣2分
500万元≤S＜1000万元，扣4分
1000万元≤S＜2000万元，扣6分
2000万元≤S＜5000万元，扣8分
5000万元≤S＜1亿元，扣10分
1亿元≤S，扣12分
最高扣20分。</t>
    <phoneticPr fontId="12" type="noConversion"/>
  </si>
  <si>
    <t>案件报送情况</t>
    <phoneticPr fontId="3" type="noConversion"/>
  </si>
  <si>
    <t>保险公司应准确、及时、规范报送案件信息</t>
    <phoneticPr fontId="12" type="noConversion"/>
  </si>
  <si>
    <t>基础分5分，最高5分，最低0分。每迟报、错报或漏报1起案件扣0.5分，瞒报案件扣5分，最高扣5分。</t>
    <phoneticPr fontId="3" type="noConversion"/>
  </si>
  <si>
    <t>宣传教育</t>
    <phoneticPr fontId="12" type="noConversion"/>
  </si>
  <si>
    <t>加强风险案件宣传教育</t>
    <phoneticPr fontId="12" type="noConversion"/>
  </si>
  <si>
    <t>基础分5分，最高5分，最低0分。1.未开展反保险欺诈公益宣传、教育培训的，扣2分；2.未按规定开展风险案件警示教育，每发生1起，扣1分，最高扣3分。</t>
    <phoneticPr fontId="3" type="noConversion"/>
  </si>
  <si>
    <t>不适用</t>
    <phoneticPr fontId="3" type="noConversion"/>
  </si>
  <si>
    <t>行业水平评分</t>
    <phoneticPr fontId="3" type="noConversion"/>
  </si>
  <si>
    <t>直接评分</t>
    <phoneticPr fontId="3" type="noConversion"/>
  </si>
  <si>
    <t>评价标准</t>
  </si>
  <si>
    <t>从业经验指资产管理部门主持工作的负责人从事金融机构投资相关工作的时间。</t>
    <phoneticPr fontId="3" type="noConversion"/>
  </si>
  <si>
    <t>人员结构是指资金运用风险管理人员数量与投研人员数量的比例。风险管理人员数量是指与资金运用相关的风险控制、合规法律、内控稽核、投后跟踪管理人员数量。</t>
    <phoneticPr fontId="3" type="noConversion"/>
  </si>
  <si>
    <t>I类保险公司的总公司财会部门人员数量应超过40人（含40人），若财务处理由集团共享中心集中操作或者外包给集团内其他公司的，总公司财会部门人员数量应超过20人（含20人）；
II类保险公司的总公司财会部门人员数量应超过12人（含12人），若财务处理由集团共享中心集中操作或者外包给集团内其他公司的，总公司财会部门人员数量应超过8人（含8人）
I类保险公司和II类保险公司根据《保险公司偿付能力监管规则第11号：偿付能力风险管理要求与评估》第六条确定（下同）。
本项中，再保险公司按照Ⅱ类保险公司的标准进行评分。</t>
    <phoneticPr fontId="3" type="noConversion"/>
  </si>
  <si>
    <t>不扣分</t>
  </si>
  <si>
    <t>HR人员名单</t>
  </si>
  <si>
    <t>行业水平评分</t>
    <phoneticPr fontId="3" type="noConversion"/>
  </si>
  <si>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12" type="noConversion"/>
  </si>
  <si>
    <t>责任部门权重</t>
    <phoneticPr fontId="3" type="noConversion"/>
  </si>
  <si>
    <t>投资部</t>
    <phoneticPr fontId="3" type="noConversion"/>
  </si>
  <si>
    <t>责任部门权重</t>
    <phoneticPr fontId="12" type="noConversion"/>
  </si>
  <si>
    <t>人身保险公司分支机构销售、承保、保全业务线操作风险</t>
  </si>
  <si>
    <t>北京</t>
    <phoneticPr fontId="3" type="noConversion"/>
  </si>
  <si>
    <t>天津</t>
    <phoneticPr fontId="3" type="noConversion"/>
  </si>
  <si>
    <t>辽宁</t>
    <phoneticPr fontId="3" type="noConversion"/>
  </si>
  <si>
    <t>大连</t>
    <phoneticPr fontId="3" type="noConversion"/>
  </si>
  <si>
    <t>江苏</t>
    <phoneticPr fontId="3" type="noConversion"/>
  </si>
  <si>
    <t>山东</t>
    <phoneticPr fontId="3" type="noConversion"/>
  </si>
  <si>
    <t>青岛</t>
    <phoneticPr fontId="3" type="noConversion"/>
  </si>
  <si>
    <t>河南</t>
    <phoneticPr fontId="3" type="noConversion"/>
  </si>
  <si>
    <t>广东</t>
    <phoneticPr fontId="3" type="noConversion"/>
  </si>
  <si>
    <t>四川</t>
    <phoneticPr fontId="3" type="noConversion"/>
  </si>
  <si>
    <t>责任部门权重</t>
    <phoneticPr fontId="3" type="noConversion"/>
  </si>
  <si>
    <t>行次</t>
    <phoneticPr fontId="3" type="noConversion"/>
  </si>
  <si>
    <t>评价指标</t>
    <phoneticPr fontId="3" type="noConversion"/>
  </si>
  <si>
    <t>指标说明</t>
    <phoneticPr fontId="3" type="noConversion"/>
  </si>
  <si>
    <t>评价标准</t>
    <phoneticPr fontId="3" type="noConversion"/>
  </si>
  <si>
    <t>证据</t>
    <phoneticPr fontId="3" type="noConversion"/>
  </si>
  <si>
    <t>数据校验</t>
    <phoneticPr fontId="3" type="noConversion"/>
  </si>
  <si>
    <t>分数差</t>
    <phoneticPr fontId="3" type="noConversion"/>
  </si>
  <si>
    <t>扣分项</t>
    <phoneticPr fontId="3" type="noConversion"/>
  </si>
  <si>
    <t>管理层离职率</t>
  </si>
  <si>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</si>
  <si>
    <t>最近4个季度省级分公司总经理室成员及中心支公司主要负责人离职人数</t>
  </si>
  <si>
    <t>总公司人力资源部</t>
  </si>
  <si>
    <t>人事铂金系统抽取数据</t>
    <phoneticPr fontId="3" type="noConversion"/>
  </si>
  <si>
    <t>评估期期末省级分公司总经理室成员及中心支公司主要负责人在职人数</t>
  </si>
  <si>
    <t>部门负责人具有5年以上保险相关从业经验的占比</t>
    <phoneticPr fontId="3" type="noConversion"/>
  </si>
  <si>
    <t>从业经验指省级分公司和中心支公司销售、承保、保全部门负责人从事保险相关工作的时间。</t>
    <phoneticPr fontId="3" type="noConversion"/>
  </si>
  <si>
    <t>评估期期末省级分公司和中心支公司销售、承保、保全部门负责人具有5年以上相关保险从业经验的占比高于（或等于）80%，得2分；占比高于（或等于）50%低于80%，得1分；占比低于50%，得0分。</t>
  </si>
  <si>
    <t>评估期期末省级分公司和中心支公司销售、承保、保全部门负责人具有5年以上保险相关从业经验人数</t>
  </si>
  <si>
    <t>分公司</t>
  </si>
  <si>
    <t>评估期期末省级分公司和中心支公司销售、承保、保全部门负责人人数</t>
  </si>
  <si>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3" type="noConversion"/>
  </si>
  <si>
    <t>员工流失率≤15%，得3分；15%＜员工流失率≤30%，得1.5分；员工流失率&gt;30%，得0分。</t>
    <phoneticPr fontId="3" type="noConversion"/>
  </si>
  <si>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</si>
  <si>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</si>
  <si>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</si>
  <si>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</si>
  <si>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培训次数指最近4个季度省级分公司销售、承保、保全部门负责人接受监管部门或公司组织的风险管理方面培训次数。</t>
  </si>
  <si>
    <t>最近4个季度，省公司销售、承保、保全部门负责人接受监管部门或公司组织的风险管理方面培训不少于3次，得3分；接受了培训但次数少于3次，得1.5分；未接受培训，得0分。</t>
  </si>
  <si>
    <t>4个季度</t>
    <phoneticPr fontId="3" type="noConversion"/>
  </si>
  <si>
    <t>业绩考核</t>
    <phoneticPr fontId="3" type="noConversion"/>
  </si>
  <si>
    <t>将操作风险纳入省级分公司和中心支公司销售、承保、保全部门负责人考核体系的，得4分；否则，得0分。</t>
  </si>
  <si>
    <t>1|将操作风险纳入省级分公司和中心支公司销售、承保、保全部门负责人考核体系</t>
  </si>
  <si>
    <t>中介协议签订率</t>
  </si>
  <si>
    <t>中介协议签订率=评估期期末公司与代理机构签订有效的合作协议份数÷代理机构总家数×100%。合作协议过期视为无效。</t>
    <phoneticPr fontId="49" type="noConversion"/>
  </si>
  <si>
    <t>评估期期末公司与代理机构签订有效的合作协议份数</t>
  </si>
  <si>
    <t>代理机构总家数</t>
  </si>
  <si>
    <t>销售人员协议签订率</t>
    <phoneticPr fontId="3"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</si>
  <si>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23" type="noConversion"/>
  </si>
  <si>
    <t>销售人员协议签订率=100%，得2分；否则，得0分。</t>
    <phoneticPr fontId="49" type="noConversion"/>
  </si>
  <si>
    <t>评估期期末公司与销售人员签订有效的劳动合同、代理合同份数</t>
  </si>
  <si>
    <t>销售人员总人数</t>
  </si>
  <si>
    <t>千张保单投诉量=评估期公司受理的有效投诉件数总量/期末有效保单总量*1000（单位：件/千张）。投诉件包括公司受理的投诉件和监管部门转办的投诉件。</t>
    <phoneticPr fontId="49" type="noConversion"/>
  </si>
  <si>
    <t>千张保单投诉量≤3，得2分；3&lt;千张保单投诉量≤5，得1分；千张保单投诉量&gt;5，得0分。</t>
    <phoneticPr fontId="49" type="noConversion"/>
  </si>
  <si>
    <t>评估期公司受理的有效投诉件数总量</t>
  </si>
  <si>
    <t>总公司客服部</t>
  </si>
  <si>
    <t>咨诉系统</t>
    <phoneticPr fontId="3" type="noConversion"/>
  </si>
  <si>
    <t>期末有效保单总量</t>
  </si>
  <si>
    <t>精算提供</t>
    <phoneticPr fontId="3"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</si>
  <si>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9" type="noConversion"/>
  </si>
  <si>
    <t>评价得分=2×代理制销售人员13个月留存率。</t>
    <phoneticPr fontId="49" type="noConversion"/>
  </si>
  <si>
    <t>总公司个险渠道</t>
  </si>
  <si>
    <t>展业操作风险事件指公司存在销售误导，给予或承诺给予保险合同约定以外利益，未履行告知义务，代签名或代抄录风险提示语句，未经批准擅自制作或印制产品宣传材料等情形。</t>
    <phoneticPr fontId="3" type="noConversion"/>
  </si>
  <si>
    <t>最近4个季度，监管部门发现公司存在展业操作风险事件的，每项次扣2分；公司自查发现存在展业操作风险事件的，每项次扣0.5分，扣完6分为止。</t>
    <phoneticPr fontId="49" type="noConversion"/>
  </si>
  <si>
    <t>未发现</t>
    <phoneticPr fontId="3" type="noConversion"/>
  </si>
  <si>
    <t>最近4个季度监管部门发现展业操作风险事件次数</t>
  </si>
  <si>
    <t>最近4个季度公司自查发现中介业务操作风险事件次数</t>
  </si>
  <si>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</si>
  <si>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最近4个季度，监管部门发现公司存在中介业务操作风险事件的，每项次扣2分；公司自查发现存在中介业务操作风险事件的，每项次扣0.5分，扣完6分为止。</t>
    <phoneticPr fontId="49" type="noConversion"/>
  </si>
  <si>
    <t>最近4个季度监管发现中介业务操作风险事件次数</t>
  </si>
  <si>
    <t xml:space="preserve"> 最近4个季度，监管部门或公司自查发现存在销售人员管理操作风险事件的，每项次扣3分，扣完6分为止。</t>
    <phoneticPr fontId="3" type="noConversion"/>
  </si>
  <si>
    <t>最近4个季度监管部门检查发现存在销售人员管理操作风险事件的次数</t>
  </si>
  <si>
    <t>承保标的风险评估评价公司是否建立了保险标的生调、体检等核验和风险评估制度，能否严格按制度规定展开核验可能产生的操作风险。</t>
    <phoneticPr fontId="49" type="noConversion"/>
  </si>
  <si>
    <t>公司建立了保险标的生调、体检等核验和风险评估制度，并能严格按制度规定展开核验的，得1分；其他情况，得0分。</t>
    <phoneticPr fontId="49" type="noConversion"/>
  </si>
  <si>
    <t>1|公司建立了保险标的生调、体检等核验和风险评估制度，并能严格按制度规定展开核验</t>
  </si>
  <si>
    <t>2|其他情况</t>
  </si>
  <si>
    <t>犹豫期内电话回访成功率</t>
  </si>
  <si>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3" type="noConversion"/>
  </si>
  <si>
    <t>评估期内通过电话回访方式在犹豫期内完成新契约回访的保单件数</t>
  </si>
  <si>
    <t>协同业务系统</t>
    <phoneticPr fontId="3" type="noConversion"/>
  </si>
  <si>
    <t>评估期内承保的保单件数</t>
  </si>
  <si>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</si>
  <si>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最近4个季度公司因反洗钱工作被监管部门处罚次数</t>
    <phoneticPr fontId="3" type="noConversion"/>
  </si>
  <si>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</si>
  <si>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最近4个季度，公司因反洗钱工作被监管部门处罚的，每项次扣2分；下发监管函的，每项次扣1分，扣完4分为止。</t>
    <phoneticPr fontId="3" type="noConversion"/>
  </si>
  <si>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</si>
  <si>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最近4个季度，监管部门发现公司存在承保管理操作风险事件的，每项次扣3分；公司自查发现存在承保管理操作风险事件的，每项次扣0.5分，扣完6分为止。</t>
    <phoneticPr fontId="3" type="noConversion"/>
  </si>
  <si>
    <t>最近4个季度监管部门发现承保管理操作风险事件次数</t>
  </si>
  <si>
    <t>续期收费率=评估期本期应收实收保费 ÷ 评估期本期应收保费 ×100%。续期收费指根据保险合同约定按期缴方式支付保险费的第二期及以后各期保险费的过程。</t>
  </si>
  <si>
    <t>评估期本期应收实收保费</t>
  </si>
  <si>
    <t>总公司续期保费部</t>
  </si>
  <si>
    <t>评估期本期应收保费</t>
  </si>
  <si>
    <t>保全变更完成率</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</si>
  <si>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</si>
  <si>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保全变更完成率≥95%,得2分；90%≤保全变更完成率&lt;95%,得1分;保全变更完成率&lt;90%,得0分。</t>
  </si>
  <si>
    <t>评估期保全变更完成件数</t>
  </si>
  <si>
    <t>保全系统数据统计</t>
  </si>
  <si>
    <t>评估期期初保全变更留存件数</t>
  </si>
  <si>
    <t>评估期保全变更新增件数</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</si>
  <si>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</si>
  <si>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退（撤）保率≤5%,得3分；5%&lt;退（撤）保率≤10%,得1.5分;退（撤）保率&gt;10%,得0分。</t>
  </si>
  <si>
    <t>评估期本期合计撤保金总额</t>
  </si>
  <si>
    <t>DW数据统计</t>
  </si>
  <si>
    <t>评估期本期合计退保金总额</t>
  </si>
  <si>
    <t>评估期本期合计实收保费金额</t>
  </si>
  <si>
    <t>评估期本期预收保费总额</t>
  </si>
  <si>
    <t>保单失效率</t>
  </si>
  <si>
    <t>失效、退保金额</t>
  </si>
  <si>
    <t>精算提供</t>
  </si>
  <si>
    <t>减保金额</t>
  </si>
  <si>
    <t>复效额</t>
  </si>
  <si>
    <t>增保额</t>
  </si>
  <si>
    <t>年初累计有效保额</t>
  </si>
  <si>
    <t>保全差错率</t>
  </si>
  <si>
    <t>保全差错率=评估期内保全差错件总量（包括保全撤销、影像重扫补扫、非客户原因的账号变更、审批修改、审批退回）÷ 评估期操作的确认生效的保全件总量×100%.</t>
  </si>
  <si>
    <t>保全差错率≤1%,得2分；1%&lt;保全差错率≤2%,得1分;保全差错率&gt;2%,得0分。</t>
  </si>
  <si>
    <t>评估期内保全差错件总量</t>
  </si>
  <si>
    <t>保全质检登记</t>
  </si>
  <si>
    <t>评估期操作的确认生效的保全件总量</t>
  </si>
  <si>
    <t>保单质押贷款支付方式</t>
  </si>
  <si>
    <t>保单质押贷款支付方式评价公司保单质押贷款是否通过银行转账支付至投保人银行账户可能产生的操作风险。</t>
  </si>
  <si>
    <t>评估期，保单质押贷款均通过银行转账支付至投保人银行账户的，得1分；否则，得0分。</t>
  </si>
  <si>
    <t>评估期内</t>
    <phoneticPr fontId="3" type="noConversion"/>
  </si>
  <si>
    <t>1|评估期，保单质押贷款均通过银行转账支付至投保人银行账户</t>
  </si>
  <si>
    <t>保全管理操作风险事件指公司存在虚假批改、虚假退保、擅自注销保单等违规保全操作的情形。</t>
  </si>
  <si>
    <t>最近4个季度，监管部门发现公司存在保全管理操作风险事件的，每项次扣3分；公司自查发现存在保全管理操作风险事件的，每项次扣0.5分，扣完6分为止。</t>
  </si>
  <si>
    <t>最近4个季度监管部门检查发现保全管理操作风险事件的次数</t>
  </si>
  <si>
    <t>重大操作风险事件指单项操作风险事件造成公司经济损失在100万元以上，或案件涉案金额500万元以上的操作风险事件。</t>
  </si>
  <si>
    <t>公司销售、承保、保全环节每发现1项次重大操作风险事件，销售、承保、保全业务线内部操作流程总得分扣减10分，扣完60分为止。</t>
  </si>
  <si>
    <t>不扣分</t>
    <phoneticPr fontId="3" type="noConversion"/>
  </si>
  <si>
    <t>公司自查发现账号管理安全事件的次数</t>
  </si>
  <si>
    <t>账号管理安全评价公司销售、承保、保全等业务管理系统账号安全管理情况。</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</si>
  <si>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</si>
  <si>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监管部门检查发现账号管理安全事件的次数</t>
  </si>
  <si>
    <t>佣金系统计提情况</t>
  </si>
  <si>
    <t>佣金系统计提评价公司佣金及手续费是否通过系统跟单自动计提可能产生的操作风险。</t>
  </si>
  <si>
    <t>评估期各业务条线佣金及手续费均通过系统跟单自动计提的，得2分；否则，得0分。</t>
  </si>
  <si>
    <t>1|评估期各业务条线佣金及手续费均通过系统跟单自动计提</t>
  </si>
  <si>
    <t>最近4个季度评估公司原保费收入</t>
  </si>
  <si>
    <t>设行业平均水平为θ，评分为：x&lt;θ，10分；θ≤x&lt;1.5θ，5分；1.5θ≤x&lt;2θ，2分；2θ≤x，0分。</t>
  </si>
  <si>
    <t>行业水平评分</t>
    <phoneticPr fontId="3" type="noConversion"/>
  </si>
  <si>
    <t>最近4个季度保户投资款本年新增交费</t>
  </si>
  <si>
    <t>最近4个季度投连险独立账户本年新增交费</t>
  </si>
  <si>
    <t>直接评分</t>
    <phoneticPr fontId="3" type="noConversion"/>
  </si>
  <si>
    <t>公式行</t>
    <phoneticPr fontId="3" type="noConversion"/>
  </si>
  <si>
    <t>人身保险公司分支机构理赔业务线操作风险</t>
    <phoneticPr fontId="3" type="noConversion"/>
  </si>
  <si>
    <t>从业经验指省级分公司及中心支公司理赔部门负责人从事保险理赔相关工作的时间。</t>
  </si>
  <si>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</si>
  <si>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最近4个季度内省公司及以下分支机构理赔部门离职员工人数</t>
  </si>
  <si>
    <t>前4个季度初省公司及以下分支机构的理赔人员数量</t>
  </si>
  <si>
    <t>最近4个季度省公司及以下分支机构增加的理赔人员数量</t>
  </si>
  <si>
    <t>部门负责人培训次数指最近4个季度内省级分公司及中心支公司理赔部门负责人参加由监管部门或公司组织的风险管理方面培训培训次数。</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</si>
  <si>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</si>
  <si>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</si>
  <si>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</si>
  <si>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1|省级分公司和中心支公司理赔部门负责人的业绩考核与操作风险相挂钩</t>
  </si>
  <si>
    <t>案均核赔支付时效</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</si>
  <si>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</si>
  <si>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3" type="noConversion"/>
  </si>
  <si>
    <t>评估期内所有赔案支付时点至核赔完成时点差值之和</t>
  </si>
  <si>
    <t>理赔系统</t>
    <phoneticPr fontId="3" type="noConversion"/>
  </si>
  <si>
    <t>正常结案数量</t>
  </si>
  <si>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</si>
  <si>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3" type="noConversion"/>
  </si>
  <si>
    <t>与行业平均水平相比</t>
    <phoneticPr fontId="3" type="noConversion"/>
  </si>
  <si>
    <t>与行业平均水平相比</t>
  </si>
  <si>
    <t>评估期内所有已决赔案出险日至结案的天数总和</t>
  </si>
  <si>
    <t>评估期内所有已决赔案件数</t>
  </si>
  <si>
    <t>赔款转账直付比例</t>
  </si>
  <si>
    <t>赔款转账直付比例=评估期转账支付至被保险人（或受益人）银行账户的赔款件数÷评估期已决赔案数量×100%</t>
  </si>
  <si>
    <t>赔款转账直付比例≥95%的，得6分；90%≤赔款转账直付比例＜95%，得2分；赔款转账直付比例＜90%的，得0分</t>
    <phoneticPr fontId="3" type="noConversion"/>
  </si>
  <si>
    <t>评估期转账支付至被保险人（或受益人）银行账户的赔款件数</t>
  </si>
  <si>
    <t>评估期已决赔案数量</t>
  </si>
  <si>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</si>
  <si>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评估期所有赔案的未决估计赔款与已决赔款差值之和</t>
  </si>
  <si>
    <t>评估期内所有正常结案赔案的已决赔款之和</t>
  </si>
  <si>
    <t>理赔档案遗失次数</t>
  </si>
  <si>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</si>
  <si>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3" type="noConversion"/>
  </si>
  <si>
    <t>理赔档案资料不完整或要素填写不完整次数</t>
  </si>
  <si>
    <t>理赔档案案卷归档不及时次数</t>
  </si>
  <si>
    <t>其他理赔档案管理不善的次数</t>
  </si>
  <si>
    <t>最近4个季度，监管部门发现公司存在理赔操管理作风险事件的，每项次扣3分；公司自查发现公司存在理赔操管理作风险事件的，每项次扣0.5分，扣完20分为止。</t>
    <phoneticPr fontId="3" type="noConversion"/>
  </si>
  <si>
    <t>最近4个季度监管部门发现理赔管理操作风险事件的次数</t>
  </si>
  <si>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</si>
  <si>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3" type="noConversion"/>
  </si>
  <si>
    <t>最近4个季度公司发生业外欺诈案件的次数</t>
  </si>
  <si>
    <t>重大操作风险事件调整次数</t>
  </si>
  <si>
    <t>公司理赔环节每发现1项次重大操作风险事件，理赔业务线内部操作流程总得分扣减10分，扣完60分为止。</t>
    <phoneticPr fontId="3"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</si>
  <si>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</si>
  <si>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phoneticPr fontId="3" type="noConversion"/>
  </si>
  <si>
    <t>反欺诈识别</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</si>
  <si>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</si>
  <si>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</si>
  <si>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1|公司理赔信息系统设置了反欺诈识别提醒功能，对出险时间与起保或终止时间接近、保险年度内索赔次数异常等情况进行提示的，对重点领域和环节设立欺诈案件和可疑赔案筛查功能</t>
  </si>
  <si>
    <t>系统对接情况</t>
  </si>
  <si>
    <t>系统对接指公司理赔信息系统与接报案系统对接。</t>
  </si>
  <si>
    <t>公司理赔信息系统与接报案系统对接，理赔信息系统中报案时间由接报案系统直接导入，报案时间无法手工修改的，得1分；否则，得0分。</t>
  </si>
  <si>
    <t>1|公司理赔信息系统与接报案系统对接，理赔信息系统中报案时间由接报案系统直接导入，报案时间无法手工修改</t>
  </si>
  <si>
    <t>设行业平均水平为θ，评分为：x&lt;θ，10分；θ≤x&lt;1.5θ，5分；1.5θ≤x&lt;2θ，2分；2θ≤x，0分。</t>
    <phoneticPr fontId="3" type="noConversion"/>
  </si>
  <si>
    <t>保险分支机构总公司财务管理操作风险</t>
  </si>
  <si>
    <t>四川</t>
  </si>
  <si>
    <t>省级分公司财会部门负责人从业年限</t>
  </si>
  <si>
    <t>从业经验指省级分公司财会部门负责人从事财务、会计类工作的时间。</t>
  </si>
  <si>
    <t>省级分公司财会部门负责人具有5年以上财务、会计类工作经验的，得5分；否则，得0分。</t>
  </si>
  <si>
    <t>财会部门人员流失率小于或等于20%，得2分；超过20％的，得0分。</t>
    <phoneticPr fontId="3" type="noConversion"/>
  </si>
  <si>
    <t>会计证持证率</t>
    <phoneticPr fontId="3"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</si>
  <si>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</si>
  <si>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</si>
  <si>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期末省级分公司及所有下辖分支机构参加财务工作一年以上的会计人员中持有会计证人员数量</t>
  </si>
  <si>
    <t>期末省级分公司及所有下辖分支机构参加财务工作一年以上的会计人员总数</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</si>
  <si>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</si>
  <si>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</si>
  <si>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财务部门总人数</t>
  </si>
  <si>
    <t>管理方式</t>
  </si>
  <si>
    <t>管理方式指是否存在公司会计、出纳、稽核等不相容岗位兼职的情况。</t>
  </si>
  <si>
    <t>不存在公司会计、出纳、稽核等不相容岗位兼职情况的 得2分；否则，得0分。</t>
  </si>
  <si>
    <t>1|不存在公司会计、出纳、稽核等不相容岗位兼职情况</t>
  </si>
  <si>
    <t>业绩考核指省级分公司财会部门负责人和中心支公司财会部门负责人的业绩考核是否与操作风险相挂钩。</t>
  </si>
  <si>
    <t>省级分公司和中心支公司财务部门负责人的业绩考核与操作风险相挂钩的，得2分；否则，得0分</t>
  </si>
  <si>
    <t>1|省级分公司和中心支公司财务部门负责人的业绩考核与操作风险相挂钩</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</si>
  <si>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</si>
  <si>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</si>
  <si>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出现重大错报或漏报的次数</t>
  </si>
  <si>
    <t>财务报告评价依据</t>
  </si>
  <si>
    <t>无错报、漏报、未按时报送等差错</t>
  </si>
  <si>
    <t>最近4个季度监管部门发现财务核算操作风险事件的次数</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</si>
  <si>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</si>
  <si>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</si>
  <si>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最近4个季度公司自查发现财务核算操作风险事件的次数</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</si>
  <si>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</si>
  <si>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</si>
  <si>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</si>
  <si>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</si>
  <si>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</si>
  <si>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</si>
  <si>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</si>
  <si>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评估期内非现金收款金额</t>
  </si>
  <si>
    <t>评估期评估公司原保费收入</t>
  </si>
  <si>
    <t>评估期内保户投资款本年新增交费</t>
  </si>
  <si>
    <t>评估期内投连险独立账户本年新增交费</t>
  </si>
  <si>
    <t>非现金付款比率</t>
  </si>
  <si>
    <t>非现金付款比率=评估期内非现金付款金额÷（评估期内赔付金+评估期内退保金）×100％</t>
  </si>
  <si>
    <t>非现金付款比率≥95%，得3分；90%≤非现金付款比率＜95%，得1分；非现金付i款比率＜90%，得0分。</t>
  </si>
  <si>
    <t>评估期内非现金付款金额</t>
  </si>
  <si>
    <t>评估期内赔付金</t>
  </si>
  <si>
    <t>评估期内退保金</t>
  </si>
  <si>
    <t>非寿险业务非正常应收保费比例</t>
    <phoneticPr fontId="3" type="noConversion"/>
  </si>
  <si>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</si>
  <si>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</si>
  <si>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评估期末非寿险业务一年期以上应收保费余额</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</si>
  <si>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</si>
  <si>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</si>
  <si>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t>
  </si>
  <si>
    <t>费用预算执行情况评价省级分公司执行总公司预算情况。</t>
  </si>
  <si>
    <t>评估期末公司本年度累计实际发生费用未超过预算的，得3分；否则，得0分。</t>
  </si>
  <si>
    <t>1|评估期末公司本年度累计实际发生费用未超过预算</t>
  </si>
  <si>
    <t>费用管理操作风险事件包括公司以虚列经济事项、虚列人员薪酬、虚假发票报销费用等方式违规套取费用等情形。</t>
    <phoneticPr fontId="3" type="noConversion"/>
  </si>
  <si>
    <t>最近4个季度公司自查发现费用管理操作风险事件次数</t>
    <phoneticPr fontId="3" type="noConversion"/>
  </si>
  <si>
    <t>有价单证缺失率小于0.1％的，得2分；否则，得0分。</t>
  </si>
  <si>
    <t>单证回销率</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</si>
  <si>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</si>
  <si>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</si>
  <si>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最近4个季度内已回销的有价单证数量</t>
  </si>
  <si>
    <t>最近4个季度内按公司规定时限内应回销的有价单证数量</t>
  </si>
  <si>
    <t>最近4个季度监管部门发现单证印章管理操作风险事件次数</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</si>
  <si>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</si>
  <si>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</si>
  <si>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最近4个季度税收操作风险事件次数</t>
    <phoneticPr fontId="3" type="noConversion"/>
  </si>
  <si>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</si>
  <si>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</si>
  <si>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重大操作风险事件次数</t>
    <phoneticPr fontId="3" type="noConversion"/>
  </si>
  <si>
    <t>公司财务环节每发现1项次重大操作风险事件，财务管理内部操作流程总得分扣减10分，扣完60分为止。</t>
  </si>
  <si>
    <t>监管部门发现账号安全问题次数</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</si>
  <si>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</si>
  <si>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</si>
  <si>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公司自查发现账号安全问题次数</t>
  </si>
  <si>
    <t>系统对接指财务系统与单证系统、业务系统、再保系统、精算系统等对接，实现系统间数据自动交换的</t>
  </si>
  <si>
    <t>财务系统与单证系统、业务系统、再保系统、精算系统等对接，实现系统间数据自动交换的，得2分；否则，得0分。</t>
  </si>
  <si>
    <t>1|财务系统与单证系统、业务系统、再保系统、精算系统等对接，实现系统间数据自动交换</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</si>
  <si>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</si>
  <si>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OR04-分公司销售承保保全</t>
    <phoneticPr fontId="3" type="noConversion"/>
  </si>
  <si>
    <t>OR08-分公司理赔</t>
    <phoneticPr fontId="3" type="noConversion"/>
  </si>
  <si>
    <t>OR13-分公司财务管理</t>
    <phoneticPr fontId="3" type="noConversion"/>
  </si>
  <si>
    <t>OR02-销售承保</t>
    <phoneticPr fontId="3" type="noConversion"/>
  </si>
  <si>
    <t>OR06-理赔保全</t>
    <phoneticPr fontId="3" type="noConversion"/>
  </si>
  <si>
    <t>check</t>
    <phoneticPr fontId="3" type="noConversion"/>
  </si>
  <si>
    <t>check</t>
    <phoneticPr fontId="12" type="noConversion"/>
  </si>
  <si>
    <t>IT</t>
    <phoneticPr fontId="3" type="noConversion"/>
  </si>
  <si>
    <t>财务管理部</t>
    <phoneticPr fontId="3" type="noConversion"/>
  </si>
  <si>
    <t>满分</t>
    <phoneticPr fontId="3" type="noConversion"/>
  </si>
  <si>
    <t>得分</t>
    <phoneticPr fontId="3" type="noConversion"/>
  </si>
  <si>
    <t>15年行业均值</t>
    <phoneticPr fontId="3" type="noConversion"/>
  </si>
  <si>
    <t>绩效评分</t>
    <phoneticPr fontId="12" type="noConversion"/>
  </si>
  <si>
    <t>评估期内发现分支机构及其销售人员、保险中介代理机构存在私印宣传、培训材料问题的次数。                                                             
 评估期为评估时点之前12个月。</t>
    <phoneticPr fontId="12" type="noConversion"/>
  </si>
  <si>
    <t>17Q4评分</t>
    <phoneticPr fontId="3" type="noConversion"/>
  </si>
  <si>
    <t>无</t>
  </si>
  <si>
    <t>分支机构封面页</t>
    <phoneticPr fontId="3" type="noConversion"/>
  </si>
  <si>
    <t>北京保监局</t>
  </si>
  <si>
    <t>报告期间</t>
    <phoneticPr fontId="53" type="noConversion"/>
  </si>
  <si>
    <t>天津保监局</t>
  </si>
  <si>
    <t>公司中文名称</t>
    <phoneticPr fontId="53" type="noConversion"/>
  </si>
  <si>
    <t>公司英文名称</t>
    <phoneticPr fontId="53" type="noConversion"/>
  </si>
  <si>
    <t>公司类型</t>
    <phoneticPr fontId="53" type="noConversion"/>
  </si>
  <si>
    <t>1|人身险公司</t>
  </si>
  <si>
    <t>分支机构负责人</t>
    <phoneticPr fontId="53" type="noConversion"/>
  </si>
  <si>
    <t>辽宁保监局</t>
  </si>
  <si>
    <t>注册地址</t>
    <phoneticPr fontId="53" type="noConversion"/>
  </si>
  <si>
    <t>保险机构法人许可证号（经营保险业务许可证）</t>
    <phoneticPr fontId="53" type="noConversion"/>
  </si>
  <si>
    <t>开业时间</t>
    <phoneticPr fontId="53" type="noConversion"/>
  </si>
  <si>
    <t>业务范围（经营范围）</t>
    <phoneticPr fontId="53" type="noConversion"/>
  </si>
  <si>
    <t>江苏保监局</t>
  </si>
  <si>
    <t>联系人姓名</t>
    <phoneticPr fontId="53" type="noConversion"/>
  </si>
  <si>
    <t>联系人办公室电话</t>
    <phoneticPr fontId="53" type="noConversion"/>
  </si>
  <si>
    <t>联系人移动电话</t>
    <phoneticPr fontId="53" type="noConversion"/>
  </si>
  <si>
    <t>联系人传真号码</t>
    <phoneticPr fontId="53" type="noConversion"/>
  </si>
  <si>
    <t>联系人电子信箱</t>
    <phoneticPr fontId="53" type="noConversion"/>
  </si>
  <si>
    <t>山东保监局</t>
  </si>
  <si>
    <t>分支机构隶属保监局</t>
    <phoneticPr fontId="53" type="noConversion"/>
  </si>
  <si>
    <t>河南保监局</t>
  </si>
  <si>
    <t>广东保监局</t>
  </si>
  <si>
    <t>四川保监局</t>
  </si>
  <si>
    <t>大连保监局</t>
  </si>
  <si>
    <t>青岛保监局</t>
  </si>
  <si>
    <t>恒安标准人寿保险有限公司天津分公司</t>
  </si>
  <si>
    <t>Heng An Standard Life Insurance Company Limited Tianjin Branch</t>
  </si>
  <si>
    <t>李茂森</t>
  </si>
  <si>
    <t>天津市南开区卫津南路与霞光道交口西南侧花园别墅42号宁泰广场7层01单元、4层03单元及18层04单元</t>
  </si>
  <si>
    <t>000056120000</t>
  </si>
  <si>
    <t>（一）人寿保险、健康保险和意外伤害保险等保险业务（二）上款业务的再保险业务</t>
  </si>
  <si>
    <t>于海凤</t>
  </si>
  <si>
    <t>022-87790088-2613</t>
  </si>
  <si>
    <t>022-23136466</t>
  </si>
  <si>
    <t>TJ.Alisa_Yu@hengansl.com</t>
  </si>
  <si>
    <t>恒安标准人寿保险有限公司辽宁分公司</t>
  </si>
  <si>
    <t>辽宁省沈阳市沈河区北站路59号沈阳财富中心E座5层</t>
  </si>
  <si>
    <t>000056210000</t>
  </si>
  <si>
    <t>人寿保险、健康保险和意外伤害保险等保险业务（法定保险业务除外）。</t>
  </si>
  <si>
    <t>鄂壮壮</t>
  </si>
  <si>
    <t>024-22585075</t>
  </si>
  <si>
    <t>024-22585028</t>
  </si>
  <si>
    <t>sy.zhuangzhuang_e@hengansl.com</t>
  </si>
  <si>
    <t>周彩虹</t>
  </si>
  <si>
    <t>梁帅</t>
  </si>
  <si>
    <t>隋海生</t>
  </si>
  <si>
    <t>0532-83079905</t>
  </si>
  <si>
    <t>0532-85793249</t>
  </si>
  <si>
    <t>qd.haisheng_sui@hengansl.com</t>
  </si>
  <si>
    <t>恒安标准人寿保险有限公司河南分公司</t>
    <phoneticPr fontId="12" type="noConversion"/>
  </si>
  <si>
    <t>Heng An Standard Life Insurance Company Limited Henan Branch</t>
    <phoneticPr fontId="12" type="noConversion"/>
  </si>
  <si>
    <t>刘剑</t>
    <phoneticPr fontId="3" type="noConversion"/>
  </si>
  <si>
    <t>郑州市金水区经三路北段86号院6号楼，金印现代城9楼02B、03、04室和15 楼02、03、04、05室</t>
    <phoneticPr fontId="12" type="noConversion"/>
  </si>
  <si>
    <t>000056410000</t>
    <phoneticPr fontId="12" type="noConversion"/>
  </si>
  <si>
    <t>在河南省行政辖区内经营以下业务（法定保险业务除外）：人寿保险、健康保险和意外伤害保险等保险业务；上款业务的再保险业务。</t>
    <phoneticPr fontId="12" type="noConversion"/>
  </si>
  <si>
    <t>冯瑞珍</t>
  </si>
  <si>
    <t>0371-60185285</t>
  </si>
  <si>
    <t>0371-60185388</t>
  </si>
  <si>
    <t>ZZ.Fulla_Feng@hengansl.com</t>
  </si>
  <si>
    <t>恒安标准人寿保险有限公司四川分公司</t>
  </si>
  <si>
    <t>Heng An Standard Life Insurance Company Limited Sichuan Branch</t>
  </si>
  <si>
    <t>恒安标准人寿保险有限公司大连分公司</t>
  </si>
  <si>
    <t>大连市中山区同兴街10号东亚银行大厦12层</t>
  </si>
  <si>
    <t>在辽宁省行政辖区内经营下列业务（法定保险业务除外）：（一）人寿保险、健康保险和意外伤害保险等保险业务；（二）上款业务的再保险业务***（依法须经批准的项目，经相关部门批准后方可开展经营活动）。</t>
  </si>
  <si>
    <t>0411-82615960</t>
  </si>
  <si>
    <t>0411-82615888</t>
  </si>
  <si>
    <t>dl.shuai_liang@hengansl.com</t>
  </si>
  <si>
    <t>恒安标准人寿保险有限公司江苏分公司</t>
  </si>
  <si>
    <t>Heng An Standard Life Insurance Company Limited Jiangsu Branch</t>
  </si>
  <si>
    <t>刘剑锋</t>
  </si>
  <si>
    <t>南京市白下区中山南路49号商茂世纪广场38楼A、B、D座</t>
  </si>
  <si>
    <t>一、人寿保险、健康保险和意外伤害保险等保险业务；二、上述业务的再保险业务</t>
  </si>
  <si>
    <t>张烜</t>
  </si>
  <si>
    <t>025-66673733</t>
  </si>
  <si>
    <t>025-66673999</t>
  </si>
  <si>
    <t>NJ.Jacky_Zhang@hengansl.com</t>
  </si>
  <si>
    <t>Heng An Standard Life Insurance Company Limited Liaoning Branch</t>
  </si>
  <si>
    <t>恒安标准人寿保险有限公司北京分公司</t>
  </si>
  <si>
    <t>Heng An Standard Life Insurance Company Limited Beijing Branch</t>
  </si>
  <si>
    <t>张玉臣</t>
  </si>
  <si>
    <t>北京市东城区新怡家园甲3号楼8层803、806室</t>
  </si>
  <si>
    <t>010-59235500</t>
  </si>
  <si>
    <t>恒安标准人寿保险有限公司广东分公司</t>
  </si>
  <si>
    <t>2009月5月25日</t>
  </si>
  <si>
    <t>恒安标准人寿保险有限公司山东分公司</t>
  </si>
  <si>
    <t>崔涛</t>
  </si>
  <si>
    <t>济南市泉城路17号华能大厦</t>
  </si>
  <si>
    <t>在山东省行政辖区内经营：（一）人寿保险、健康保险和意外伤害保险等保险业务；（二）上款业务的再保险业务（依法须经批准的项目，经相关部门批准后方可开展经营活动，有效期限以许可证为准）。</t>
  </si>
  <si>
    <t>郭鲁宝</t>
  </si>
  <si>
    <t>0531-80983619</t>
  </si>
  <si>
    <t>0531-80983699</t>
  </si>
  <si>
    <t>JN.LuBao_Guo@hengansl.com</t>
  </si>
  <si>
    <t>曾毅</t>
  </si>
  <si>
    <t>四川省成都市锦江区顺城大街8号中环广场1座21楼</t>
  </si>
  <si>
    <t>000056510000</t>
  </si>
  <si>
    <t>在四川省行政辖区内经营以下业务（法定保险业务除外）：1、人寿保险、健康保险和意外伤害保险等保险业务；2、上款业务的再保险业务</t>
  </si>
  <si>
    <t>赵文</t>
  </si>
  <si>
    <t>028-66608675</t>
  </si>
  <si>
    <t>028-66608699</t>
  </si>
  <si>
    <t>CD.Summer_Zhao@hengansl.com</t>
  </si>
  <si>
    <t>恒安标准人寿保险有限公司青岛分公司</t>
  </si>
  <si>
    <t>刘忠喜</t>
  </si>
  <si>
    <t>青岛市市南区香港中路59号国际金融大厦42F</t>
  </si>
  <si>
    <t>000056370200</t>
  </si>
  <si>
    <t>人寿保险；健康保险；意外伤害保险；经保监会批准的其他人身保险业务（法定保险业务除外）。(保险业务许可证有效期限以许可证为准）。（依法须经批准的项目，经相关部门批准后方可开展经营活动）。</t>
  </si>
  <si>
    <t>&lt;不适用&gt;</t>
  </si>
  <si>
    <t>17Q4结果</t>
    <phoneticPr fontId="3" type="noConversion"/>
  </si>
  <si>
    <t>000056370000</t>
    <phoneticPr fontId="3" type="noConversion"/>
  </si>
  <si>
    <t>000056320000</t>
    <phoneticPr fontId="3" type="noConversion"/>
  </si>
  <si>
    <t>000056210200</t>
    <phoneticPr fontId="3" type="noConversion"/>
  </si>
  <si>
    <t>遗失具体</t>
  </si>
  <si>
    <t>北京</t>
  </si>
  <si>
    <t>遗失处理银保通2015版1份</t>
  </si>
  <si>
    <t>大连</t>
  </si>
  <si>
    <t>遗失处理银保通2015版13份</t>
  </si>
  <si>
    <t>天津</t>
  </si>
  <si>
    <t>遗失处理银保通2015版615份</t>
  </si>
  <si>
    <t>青岛</t>
  </si>
  <si>
    <t>遗失处理团险单证49份</t>
  </si>
  <si>
    <t>河南</t>
  </si>
  <si>
    <t>遗失处理银保通2015版4份</t>
  </si>
  <si>
    <t>变动情况</t>
  </si>
  <si>
    <t>明细（期间均为2017.01-2017.12）</t>
  </si>
  <si>
    <t>江苏</t>
  </si>
  <si>
    <t>发放数减少</t>
  </si>
  <si>
    <t>期间发放团险卡单28份，增值税发票2644份，共2672份</t>
  </si>
  <si>
    <t>辽宁</t>
  </si>
  <si>
    <t>期间发放团险卡单19份，增值税发票33份，共52份</t>
  </si>
  <si>
    <t>期间发放银保通2016版500份，增值税发票70份，共570份</t>
  </si>
  <si>
    <t>山东</t>
  </si>
  <si>
    <t>期间发放银保通2015版240份，银保通2016版100份，团险卡单2份，增值税发票354份，共696份</t>
  </si>
  <si>
    <t>期间发放银保通2016版700份，团险卡单12份，发票475份，共1187份</t>
  </si>
  <si>
    <t>广东</t>
  </si>
  <si>
    <t>发放数增加</t>
  </si>
  <si>
    <t>期间发放银保通2015版240份，银保通2016版140份，增值税发票2份，共382份</t>
  </si>
  <si>
    <t>发放数量变动原因总结：</t>
  </si>
  <si>
    <r>
      <t>1</t>
    </r>
    <r>
      <rPr>
        <sz val="10.5"/>
        <color theme="1"/>
        <rFont val="宋体"/>
        <family val="3"/>
        <charset val="134"/>
      </rPr>
      <t>、发放数增加主要是因为分公司业务发展需要，导致需求量增加</t>
    </r>
  </si>
  <si>
    <r>
      <t>2</t>
    </r>
    <r>
      <rPr>
        <sz val="10.5"/>
        <color theme="1"/>
        <rFont val="宋体"/>
        <family val="3"/>
        <charset val="134"/>
      </rPr>
      <t>、发放数减少包括部分公司之前回销率未达标，总公司控制发放导致；部分分公司收缩银保渠道导致；增值税发票推广电子发票后纸质发票发放减少</t>
    </r>
  </si>
  <si>
    <t>客服部权重</t>
    <phoneticPr fontId="3" type="noConversion"/>
  </si>
  <si>
    <t>客服部得分</t>
    <phoneticPr fontId="3" type="noConversion"/>
  </si>
  <si>
    <t>个险权重</t>
    <phoneticPr fontId="3" type="noConversion"/>
  </si>
  <si>
    <t>个险得分</t>
    <phoneticPr fontId="3" type="noConversion"/>
  </si>
  <si>
    <t>团险权重</t>
    <phoneticPr fontId="3" type="noConversion"/>
  </si>
  <si>
    <t>团险得分</t>
    <phoneticPr fontId="3" type="noConversion"/>
  </si>
  <si>
    <t>银保权重</t>
    <phoneticPr fontId="3" type="noConversion"/>
  </si>
  <si>
    <t>银保得分</t>
    <phoneticPr fontId="3" type="noConversion"/>
  </si>
  <si>
    <t>多元权重</t>
    <phoneticPr fontId="3" type="noConversion"/>
  </si>
  <si>
    <t>多元得分</t>
    <phoneticPr fontId="3" type="noConversion"/>
  </si>
  <si>
    <t>续期权重</t>
    <phoneticPr fontId="3" type="noConversion"/>
  </si>
  <si>
    <t>续期得分</t>
    <phoneticPr fontId="3" type="noConversion"/>
  </si>
  <si>
    <t>IT权重</t>
    <phoneticPr fontId="3" type="noConversion"/>
  </si>
  <si>
    <t>IT得分</t>
    <phoneticPr fontId="3" type="noConversion"/>
  </si>
  <si>
    <t>绩效评分备注</t>
    <phoneticPr fontId="3" type="noConversion"/>
  </si>
  <si>
    <t>如有扣分，则分渠道拆明细</t>
  </si>
  <si>
    <t>如有扣分，则分渠道拆明细</t>
    <phoneticPr fontId="3" type="noConversion"/>
  </si>
  <si>
    <t>分渠道拆分明细</t>
    <phoneticPr fontId="3" type="noConversion"/>
  </si>
  <si>
    <t>总公司表格</t>
    <phoneticPr fontId="3" type="noConversion"/>
  </si>
  <si>
    <t>分公司表格</t>
    <phoneticPr fontId="3" type="noConversion"/>
  </si>
  <si>
    <t>满分标准</t>
  </si>
  <si>
    <t>绩效得分</t>
    <phoneticPr fontId="3" type="noConversion"/>
  </si>
  <si>
    <t>投资部得分</t>
    <phoneticPr fontId="3" type="noConversion"/>
  </si>
  <si>
    <t>投资部权重</t>
    <phoneticPr fontId="3" type="noConversion"/>
  </si>
  <si>
    <t>精算与战略部</t>
    <phoneticPr fontId="3" type="noConversion"/>
  </si>
  <si>
    <t>精算得分</t>
    <phoneticPr fontId="3" type="noConversion"/>
  </si>
  <si>
    <t>精算权重</t>
    <phoneticPr fontId="3" type="noConversion"/>
  </si>
  <si>
    <t>IT</t>
    <phoneticPr fontId="3" type="noConversion"/>
  </si>
  <si>
    <t>IT得分</t>
    <phoneticPr fontId="3" type="noConversion"/>
  </si>
  <si>
    <t>财务管理部得分</t>
    <phoneticPr fontId="3" type="noConversion"/>
  </si>
  <si>
    <t>IT权重</t>
    <phoneticPr fontId="12" type="noConversion"/>
  </si>
  <si>
    <t>IT得分</t>
    <phoneticPr fontId="12" type="noConversion"/>
  </si>
  <si>
    <t>Q4</t>
    <phoneticPr fontId="3" type="noConversion"/>
  </si>
  <si>
    <t>Q4</t>
    <phoneticPr fontId="3" type="noConversion"/>
  </si>
  <si>
    <t>权重</t>
    <phoneticPr fontId="3" type="noConversion"/>
  </si>
  <si>
    <t>百分制满分</t>
  </si>
  <si>
    <t>得分</t>
    <phoneticPr fontId="3" type="noConversion"/>
  </si>
  <si>
    <t>得分</t>
    <phoneticPr fontId="3" type="noConversion"/>
  </si>
  <si>
    <t>财务管理部</t>
    <phoneticPr fontId="3" type="noConversion"/>
  </si>
  <si>
    <t>会计运营部</t>
    <phoneticPr fontId="3" type="noConversion"/>
  </si>
  <si>
    <t>满分</t>
    <phoneticPr fontId="3" type="noConversion"/>
  </si>
  <si>
    <t>财务管理部得分</t>
    <phoneticPr fontId="3" type="noConversion"/>
  </si>
  <si>
    <t>财务管理部权重</t>
    <phoneticPr fontId="3" type="noConversion"/>
  </si>
  <si>
    <t>会计运营部得分</t>
    <phoneticPr fontId="3" type="noConversion"/>
  </si>
  <si>
    <t>会计运营部权重</t>
    <phoneticPr fontId="3" type="noConversion"/>
  </si>
  <si>
    <t>财务管理部权重</t>
    <phoneticPr fontId="3" type="noConversion"/>
  </si>
  <si>
    <t>会计运营部权重</t>
    <phoneticPr fontId="3" type="noConversion"/>
  </si>
  <si>
    <t>会计运营部得分</t>
    <phoneticPr fontId="3" type="noConversion"/>
  </si>
  <si>
    <t>客服</t>
    <phoneticPr fontId="3" type="noConversion"/>
  </si>
  <si>
    <t>个险</t>
    <phoneticPr fontId="3" type="noConversion"/>
  </si>
  <si>
    <t>团险</t>
    <phoneticPr fontId="3" type="noConversion"/>
  </si>
  <si>
    <t>银保</t>
    <phoneticPr fontId="3" type="noConversion"/>
  </si>
  <si>
    <t>多元</t>
    <phoneticPr fontId="3" type="noConversion"/>
  </si>
  <si>
    <t>续期</t>
    <phoneticPr fontId="3" type="noConversion"/>
  </si>
  <si>
    <t>客服权重</t>
    <phoneticPr fontId="12" type="noConversion"/>
  </si>
  <si>
    <t>客服得分</t>
    <phoneticPr fontId="12" type="noConversion"/>
  </si>
  <si>
    <t>个险权重</t>
    <phoneticPr fontId="12" type="noConversion"/>
  </si>
  <si>
    <t>个险得分</t>
    <phoneticPr fontId="12" type="noConversion"/>
  </si>
  <si>
    <t>团险权重</t>
    <phoneticPr fontId="12" type="noConversion"/>
  </si>
  <si>
    <t>团险得分</t>
    <phoneticPr fontId="12" type="noConversion"/>
  </si>
  <si>
    <t>银保权重</t>
    <phoneticPr fontId="12" type="noConversion"/>
  </si>
  <si>
    <t>银保得分</t>
    <phoneticPr fontId="12" type="noConversion"/>
  </si>
  <si>
    <t>多元权重</t>
    <phoneticPr fontId="12" type="noConversion"/>
  </si>
  <si>
    <t>多元得分</t>
    <phoneticPr fontId="12" type="noConversion"/>
  </si>
  <si>
    <t>续期权重</t>
    <phoneticPr fontId="12" type="noConversion"/>
  </si>
  <si>
    <t>续期得分</t>
    <phoneticPr fontId="12" type="noConversion"/>
  </si>
  <si>
    <t>客服得分</t>
    <phoneticPr fontId="12" type="noConversion"/>
  </si>
  <si>
    <t>客服权重</t>
    <phoneticPr fontId="3" type="noConversion"/>
  </si>
  <si>
    <t>客服得分</t>
    <phoneticPr fontId="3" type="noConversion"/>
  </si>
  <si>
    <t>IT得分</t>
    <phoneticPr fontId="3" type="noConversion"/>
  </si>
  <si>
    <t>IT权重</t>
    <phoneticPr fontId="3" type="noConversion"/>
  </si>
  <si>
    <t>IT得分</t>
    <phoneticPr fontId="3" type="noConversion"/>
  </si>
  <si>
    <t>投资部建议</t>
    <phoneticPr fontId="3" type="noConversion"/>
  </si>
  <si>
    <t>改为HR1.0权重，投资0权重</t>
    <phoneticPr fontId="3" type="noConversion"/>
  </si>
  <si>
    <t>IT建议</t>
    <phoneticPr fontId="3" type="noConversion"/>
  </si>
  <si>
    <t>改为投资部提供数据</t>
    <phoneticPr fontId="3" type="noConversion"/>
  </si>
  <si>
    <t>结论</t>
    <phoneticPr fontId="3" type="noConversion"/>
  </si>
  <si>
    <t>投资、风险各0.5权重</t>
    <phoneticPr fontId="3" type="noConversion"/>
  </si>
  <si>
    <t>改为财务管理部1.0权重，投资1.0权重</t>
    <phoneticPr fontId="3" type="noConversion"/>
  </si>
  <si>
    <t>投资部和IT各1.0权重</t>
    <phoneticPr fontId="3" type="noConversion"/>
  </si>
  <si>
    <t>风险</t>
    <phoneticPr fontId="3" type="noConversion"/>
  </si>
  <si>
    <t>HR</t>
    <phoneticPr fontId="3" type="noConversion"/>
  </si>
  <si>
    <t>2018Q1</t>
    <phoneticPr fontId="3" type="noConversion"/>
  </si>
  <si>
    <t>18Q1评分</t>
    <phoneticPr fontId="3" type="noConversion"/>
  </si>
  <si>
    <t>Q1</t>
    <phoneticPr fontId="3" type="noConversion"/>
  </si>
  <si>
    <t>Q1得分</t>
    <phoneticPr fontId="3" type="noConversion"/>
  </si>
  <si>
    <t>Q4绩效评分</t>
    <phoneticPr fontId="3" type="noConversion"/>
  </si>
  <si>
    <t>Q1</t>
    <phoneticPr fontId="3" type="noConversion"/>
  </si>
  <si>
    <t>Q1百分制得分</t>
    <phoneticPr fontId="3" type="noConversion"/>
  </si>
  <si>
    <r>
      <t>建立信息技术风险识别机制，4分；</t>
    </r>
    <r>
      <rPr>
        <sz val="8"/>
        <color rgb="FFFF0000"/>
        <rFont val="微软雅黑"/>
        <family val="2"/>
        <charset val="134"/>
      </rPr>
      <t>建立了新技术、新产品的准入机制，4分。</t>
    </r>
    <phoneticPr fontId="3" type="noConversion"/>
  </si>
  <si>
    <t>Q1评分</t>
    <phoneticPr fontId="12" type="noConversion"/>
  </si>
  <si>
    <t>18Q1结果</t>
    <phoneticPr fontId="3" type="noConversion"/>
  </si>
  <si>
    <t>SUM</t>
    <phoneticPr fontId="3" type="noConversion"/>
  </si>
  <si>
    <r>
      <t>重要系统具备安全审计功能，2分；</t>
    </r>
    <r>
      <rPr>
        <sz val="8"/>
        <color rgb="FFFF0000"/>
        <rFont val="微软雅黑"/>
        <family val="2"/>
        <charset val="134"/>
      </rPr>
      <t>具有审计记录，3分</t>
    </r>
    <r>
      <rPr>
        <sz val="8"/>
        <rFont val="微软雅黑"/>
        <family val="2"/>
        <charset val="134"/>
      </rPr>
      <t>。</t>
    </r>
    <phoneticPr fontId="3" type="noConversion"/>
  </si>
  <si>
    <r>
      <t>制定了数据安全管理相关制度和流程，对数据采集、传输、交换、存储、备份、恢复和销毁等环节提出了明确要求，4分；</t>
    </r>
    <r>
      <rPr>
        <sz val="8"/>
        <color rgb="FFFF0000"/>
        <rFont val="微软雅黑"/>
        <family val="2"/>
        <charset val="134"/>
      </rPr>
      <t>建立了重要数据分级分类标准，3分</t>
    </r>
    <r>
      <rPr>
        <sz val="8"/>
        <rFont val="微软雅黑"/>
        <family val="2"/>
        <charset val="134"/>
      </rPr>
      <t>；建立了重要数据使用审批流程，3分。</t>
    </r>
    <phoneticPr fontId="3" type="noConversion"/>
  </si>
  <si>
    <t>建立了质量控制体系，3分。</t>
    <phoneticPr fontId="3" type="noConversion"/>
  </si>
  <si>
    <r>
      <t>开发、测试、生产环境相互分离，3分；</t>
    </r>
    <r>
      <rPr>
        <sz val="8"/>
        <color rgb="FFFF0000"/>
        <rFont val="微软雅黑"/>
        <family val="2"/>
        <charset val="134"/>
      </rPr>
      <t>生产数据必须经过脱敏才能在开发或测试中使用，2分。</t>
    </r>
    <phoneticPr fontId="3" type="noConversion"/>
  </si>
  <si>
    <t>具有完整的功能测试报告，功能测试项目主要包括：等价类划分、边界值分析、错误推测分析、因果图分析、判定表驱动分析、正交实验设计、功能图分析，4分。</t>
    <phoneticPr fontId="3" type="noConversion"/>
  </si>
  <si>
    <t>具有试运行报告，3分。</t>
    <phoneticPr fontId="3" type="noConversion"/>
  </si>
  <si>
    <t>按照设备和介质的安全等级，制定了生命周期的管理措施，5分；无报废控制的要求，本评价点（分值）不得分。</t>
    <phoneticPr fontId="3" type="noConversion"/>
  </si>
  <si>
    <t>总公司风险管理部</t>
    <phoneticPr fontId="3" type="noConversion"/>
  </si>
  <si>
    <t>具有完整的重要系统单点故障定期排查的记录，5分。</t>
    <phoneticPr fontId="3" type="noConversion"/>
  </si>
  <si>
    <t>建立了系统配置管理制度与流程，5分；具有系统配置的流程记录，5分。</t>
    <phoneticPr fontId="3" type="noConversion"/>
  </si>
  <si>
    <t>系统管理员严格按照管理规定进行了系统账户管理，并定期清查系统账户，3分；重要系统的系统管理员在使用超级账户时，采取授权管控等制约措施并保留操作记录，2分。</t>
    <phoneticPr fontId="3" type="noConversion"/>
  </si>
  <si>
    <t>具有主要风险点控制措施，5分；具有主要风险点控制措施的落实记录，5分；具有主要风险危机处理预案，5分。</t>
    <phoneticPr fontId="3" type="noConversion"/>
  </si>
  <si>
    <t>具有：项目需求风险评估，2分；系统架构风险评估，2分；技术可实现性风险评估，2分；项目延期交付风险评估，2分；项目成本超支风险评估，2分；第三方风险评估，2分；测试不完整性风险评估，2分；人员流动风险评估，2分；对主要风险点进行分析4分。</t>
    <phoneticPr fontId="3" type="noConversion"/>
  </si>
  <si>
    <t>详见人力部人员变动表</t>
    <phoneticPr fontId="3" type="noConversion"/>
  </si>
  <si>
    <t>《恒安标准人寿2018年短期激励方案》</t>
    <phoneticPr fontId="3" type="noConversion"/>
  </si>
  <si>
    <t>泰康回复：投研人员以成果为导向，严格实行量化考核：投研人员是公司投资业绩的直接产出者，因此，对于其年度考核，以最核心的、量化投资业绩指标为主。同时，为了保证有效激励，对于可量化的关键绩效指标，设置三级目标制（基础目标、目标、挑战目标）。这样分级的目标体系，有效鼓励投研人员不断挑战更高业绩产出。同时，在日常工作中，投研部门内部定期进行绩效回顾和总结，确保了过程的不断优化。</t>
    <phoneticPr fontId="3" type="noConversion"/>
  </si>
  <si>
    <t>朱路总、刘峰总、任硕、边绍泉、朱逸寒JD</t>
    <phoneticPr fontId="3" type="noConversion"/>
  </si>
  <si>
    <t>泰康回复：风险管理、监察稽核人员关键绩效指标与重点工作任务结合，监控指标是重点：除量化的关键绩效指标外，按照公司绩效管理办法，两类人员还需承担岗位重点工作任务，重点工作任务需明确制定任务完成的时间、成果、数量、质量要求，确定衡量标准。同时，两类人员需承担一些确保风险、合规的监控指标，这些监控指标基于制度要求和岗位要求，对于其绩效成绩有较大影响，严重时其绩效成绩为零。这些指标的设置，有效保证了其工作的效果。</t>
    <phoneticPr fontId="3" type="noConversion"/>
  </si>
  <si>
    <t>HR张炜总绩效合约、JD</t>
    <phoneticPr fontId="3" type="noConversion"/>
  </si>
  <si>
    <t>泰康委托合同相关部分和投资指引</t>
    <phoneticPr fontId="3" type="noConversion"/>
  </si>
  <si>
    <t>操作风险数据库</t>
    <phoneticPr fontId="3" type="noConversion"/>
  </si>
  <si>
    <t>《恒安标准人寿委托投资管理办法》</t>
    <phoneticPr fontId="3" type="noConversion"/>
  </si>
  <si>
    <t>CWP/UWP泰康投资指引</t>
    <phoneticPr fontId="3" type="noConversion"/>
  </si>
  <si>
    <t>报送季度、年度委托投资报告</t>
    <phoneticPr fontId="3" type="noConversion"/>
  </si>
  <si>
    <t>年度资产配置情况报告</t>
    <phoneticPr fontId="3" type="noConversion"/>
  </si>
  <si>
    <t>各投资账户投资指引、O32设置、资金划拨</t>
    <phoneticPr fontId="3" type="noConversion"/>
  </si>
  <si>
    <t>产品简称：恒安标准人寿累积分红UWP、恒安标准人寿分红01、恒安标准人寿传统、恒安标准人寿传统分红。四账户分别有不同的托管账户。</t>
    <phoneticPr fontId="3" type="noConversion"/>
  </si>
  <si>
    <t>托管合同</t>
    <phoneticPr fontId="3" type="noConversion"/>
  </si>
  <si>
    <t>《投资部投资授权管理规范》</t>
    <phoneticPr fontId="3" type="noConversion"/>
  </si>
  <si>
    <t>O32/OA</t>
    <phoneticPr fontId="3" type="noConversion"/>
  </si>
  <si>
    <t>《泰康资产管理公司投资决策管理办法》</t>
    <phoneticPr fontId="3" type="noConversion"/>
  </si>
  <si>
    <t>投委会会议记录、会议纪要</t>
    <phoneticPr fontId="3" type="noConversion"/>
  </si>
  <si>
    <t>泰康回复：每笔投资决策均有书面记录，备查。</t>
    <phoneticPr fontId="3" type="noConversion"/>
  </si>
  <si>
    <t>O32</t>
    <phoneticPr fontId="3" type="noConversion"/>
  </si>
  <si>
    <t>见泰康公司股票池和债券池的构建方法、原则和流程</t>
    <phoneticPr fontId="3" type="noConversion"/>
  </si>
  <si>
    <t>《有价证券买卖委托单》、评级授信情况表</t>
    <phoneticPr fontId="3" type="noConversion"/>
  </si>
  <si>
    <t>集中交易室、电话监控、通讯工具监控。《恒安标准人寿投资部移动通讯工具集中保管工作规范》</t>
    <phoneticPr fontId="3" type="noConversion"/>
  </si>
  <si>
    <t>泰康相关制度：《公平交易制度》、《集中交易管理办法》、《集中交易补充管理办法》、《重大突发事件应急处理规定》、《重大突发事件总体应急预案》、《集中交易室固定收益交易应急管理细则》、《交易对手信用风险管理实施细则》、《银行间债券市场交易对手询价及管理细则》、《关联交易管理办法》、《关于进一步加强异常事件管理的通知》</t>
    <phoneticPr fontId="3" type="noConversion"/>
  </si>
  <si>
    <t>O32</t>
    <phoneticPr fontId="3" type="noConversion"/>
  </si>
  <si>
    <t>泰康回复交易记录完整，备查。</t>
    <phoneticPr fontId="3" type="noConversion"/>
  </si>
  <si>
    <t>《恒安标准人寿金融资产会计分类管理制度》</t>
    <phoneticPr fontId="3" type="noConversion"/>
  </si>
  <si>
    <t>泰康相关制度：《产品估值突发事件处理办法 》、《账户管理细则 》、《估值原则》、《基础设施及不动产投资计划会计核算实施细则 》、《受托资产会计核算办法 》、《估值小组管理细则 》、《金融资产分类管理实施细则 》。</t>
    <phoneticPr fontId="3" type="noConversion"/>
  </si>
  <si>
    <t>O32日操作流程控制，投资部门的业务交易台账与后台清算记录和资金记录保持一致，每日进行清算和交易信息核对。</t>
    <phoneticPr fontId="3" type="noConversion"/>
  </si>
  <si>
    <t>工行估值表、交易流水</t>
    <phoneticPr fontId="3" type="noConversion"/>
  </si>
  <si>
    <t>保监会月报，报送每月资金运用情况</t>
    <phoneticPr fontId="3" type="noConversion"/>
  </si>
  <si>
    <t>对《保险资金运用管理办法》缺口分析，新建及更新系列制度，如风险责任人管理办法。</t>
  </si>
  <si>
    <t>部门紧跟政策变化，积极参加监管部门和同业组织的各项培训。公司风险管理部多次对全体投资部人员进行偿二代政策进行培训。投资部集体学习2018年颁布的《保险资金运用管理办法》。</t>
    <phoneticPr fontId="3" type="noConversion"/>
  </si>
  <si>
    <t>被1-5家主流媒体连续报道超过5天的次数</t>
    <phoneticPr fontId="3" type="noConversion"/>
  </si>
  <si>
    <t>被6-10家主流媒体连续报道超过5天的次数</t>
    <phoneticPr fontId="3" type="noConversion"/>
  </si>
  <si>
    <t>被10家以上主流媒体连续报道超过5天的次数</t>
    <phoneticPr fontId="3" type="noConversion"/>
  </si>
  <si>
    <t>被1-5家主流媒体连续报道超过5天，及时公开回应的次数</t>
    <phoneticPr fontId="3" type="noConversion"/>
  </si>
  <si>
    <t>被1-5家主流媒体连续报道不超过5天，及时公开回应的次数</t>
    <phoneticPr fontId="3" type="noConversion"/>
  </si>
  <si>
    <t>被6-10家主流媒体连续报道超过5天，及时公开回应的次数</t>
    <phoneticPr fontId="3" type="noConversion"/>
  </si>
  <si>
    <t>被6-10家主流媒体连续报道不超过5天，及时公开回应的次数</t>
    <phoneticPr fontId="3" type="noConversion"/>
  </si>
  <si>
    <t>被10家以上主流媒体连续报道超过5天，及时公开回应的次数</t>
    <phoneticPr fontId="3" type="noConversion"/>
  </si>
  <si>
    <t>被10家以上主流媒体连续报道不超过5天，及时公开回应的次数</t>
    <phoneticPr fontId="3" type="noConversion"/>
  </si>
  <si>
    <t>评估期内，保险公司发生负面舆情，及时公开回应，有效扭转负面舆情态势的，加“风险评估与计量”部分所扣分数的50%，加完40分为止。</t>
    <phoneticPr fontId="3" type="noConversion"/>
  </si>
  <si>
    <t>被6-10家主流媒体报道的次数</t>
    <phoneticPr fontId="3" type="noConversion"/>
  </si>
  <si>
    <t>被10家以上主流媒体连续报道超过5天的次数</t>
    <phoneticPr fontId="3" type="noConversion"/>
  </si>
  <si>
    <t>被1-5家主流媒体连续报道超过5天，及时公开回应的次数</t>
    <phoneticPr fontId="3" type="noConversion"/>
  </si>
  <si>
    <t>被1-5家主流媒体连续报道不超过5天，及时公开回应的次数</t>
    <phoneticPr fontId="3" type="noConversion"/>
  </si>
  <si>
    <t>被6-10家主流媒体连续报道超过5天，及时公开回应的次数</t>
    <phoneticPr fontId="3" type="noConversion"/>
  </si>
  <si>
    <t>被6-10家主流媒体连续报道不超过5天，及时公开回应的次数</t>
    <phoneticPr fontId="3" type="noConversion"/>
  </si>
  <si>
    <t>被10家以上主流媒体连续报道超过5天，及时公开回应的次数</t>
    <phoneticPr fontId="3" type="noConversion"/>
  </si>
  <si>
    <t>被10家以上主流媒体连续报道不超过5天，及时公开回应的次数</t>
    <phoneticPr fontId="3" type="noConversion"/>
  </si>
  <si>
    <t>评估期内，保险公司未发生负面舆情，得70分。保险公司发生负面舆情，被1-5家主要媒体报道的，扣2分；被6-10家主要媒体报道的，扣５分；被10家以上主要媒体报道的，扣10分；扣完70分为止。
评估期内，保险公司未发生负面舆情，得20分。保险公司发生负面舆情，被主要媒体持续报道超过5天的，扣5分，扣完20分为止。</t>
    <phoneticPr fontId="3" type="noConversion"/>
  </si>
  <si>
    <t>Q4评分</t>
    <phoneticPr fontId="3" type="noConversion"/>
  </si>
  <si>
    <t>无错报、漏报、未按时报送等差错</t>
    <phoneticPr fontId="3" type="noConversion"/>
  </si>
  <si>
    <t>承保标的风险评估情况</t>
    <phoneticPr fontId="3" type="noConversion"/>
  </si>
  <si>
    <t xml:space="preserve"> 风险事件合计次数指保险公司会计差错量、偿付能力报告差错量、财务报告差错量、资金管理操作风险事件、印章管理操作风险事件、税收操作风险事件等5项风险事件相加之和，各保险公司风险事件合计次数的算术平均数为该指标的行业平均水平。</t>
    <phoneticPr fontId="3" type="noConversion"/>
  </si>
  <si>
    <t>理赔管理操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phoneticPr fontId="3" type="noConversion"/>
  </si>
  <si>
    <t>最近4个季度内未发生资金管理类操作风险事件的，得4分；最近4个季度内发生1次以上、3次以内资金管理类操作风险事件的，得2分；最近4个季度内发生的资金管理类操作风险事件次数超过3次的，得0分。</t>
    <phoneticPr fontId="3" type="noConversion"/>
  </si>
  <si>
    <t>管理层离职率≤30%，得3分；30%＜管理层离职率≤50%，得1.5分；管理层离职率&gt;50%，得0分。</t>
    <phoneticPr fontId="3" type="noConversion"/>
  </si>
  <si>
    <t>90%&lt;犹豫期内电话回访成功率≤100% ，得2分；  80%&lt;犹豫期内电话回访成功率≤90%，得1分；   70%&lt;犹豫期内电话回访成功率≤80%，得0.5分；犹豫期内电话回访成功率≤70%，得 0分。</t>
    <phoneticPr fontId="3" type="noConversion"/>
  </si>
  <si>
    <t>2|未将操作风险纳入省级分公司和中心支公司销售、承保、保全部门负责人考核体系</t>
    <phoneticPr fontId="3" type="noConversion"/>
  </si>
  <si>
    <t>不适用</t>
  </si>
  <si>
    <t>评估期期末省级分公司及中心支公司理赔部门负责人具有保险理赔工作5年以上相关从业经验的占比高于（或等于）80%，得5分；占比高于（或等于）50%低于80%，得2分；占比低于50%，得0分。</t>
    <phoneticPr fontId="3" type="noConversion"/>
  </si>
  <si>
    <t>贷款没办成保险先来一份</t>
    <phoneticPr fontId="3" type="noConversion"/>
  </si>
  <si>
    <t>评估期末，专职从事人身保险核保工作的内勤员工数量</t>
    <phoneticPr fontId="12" type="noConversion"/>
  </si>
  <si>
    <t>核保人员工作年限</t>
    <phoneticPr fontId="12" type="noConversion"/>
  </si>
  <si>
    <t>评估期末，具有三年以上核保工作经验的核保人员数量</t>
    <phoneticPr fontId="12" type="noConversion"/>
  </si>
  <si>
    <t>最近4个季度公司自查发现存在销售人员管理操作风险事件的次数</t>
    <phoneticPr fontId="3" type="noConversion"/>
  </si>
  <si>
    <t>最近4个季度公司自查发现理赔管理操作风险事件的次数</t>
    <phoneticPr fontId="3" type="noConversion"/>
  </si>
  <si>
    <t>最近4个季度公司发生业内欺诈案件的次数</t>
    <phoneticPr fontId="3" type="noConversion"/>
  </si>
  <si>
    <t>最近4个季度公司自查发现资金管理类操作风险事件次数</t>
    <phoneticPr fontId="3" type="noConversion"/>
  </si>
  <si>
    <t>最近4个季度公司自查发现单证印章管理操作风险事件次数</t>
    <phoneticPr fontId="3" type="noConversion"/>
  </si>
  <si>
    <t>理赔部门负责人具有5年以上相关从业经验的占比</t>
    <phoneticPr fontId="3" type="noConversion"/>
  </si>
  <si>
    <t>数据提供部门</t>
    <phoneticPr fontId="3" type="noConversion"/>
  </si>
  <si>
    <t>评分标准</t>
    <phoneticPr fontId="3" type="noConversion"/>
  </si>
  <si>
    <t>统计期间</t>
    <phoneticPr fontId="3" type="noConversion"/>
  </si>
  <si>
    <t>证据</t>
    <phoneticPr fontId="3" type="noConversion"/>
  </si>
  <si>
    <t>分值</t>
    <phoneticPr fontId="3" type="noConversion"/>
  </si>
  <si>
    <t>Q1</t>
    <phoneticPr fontId="3" type="noConversion"/>
  </si>
  <si>
    <t>数据校验</t>
    <phoneticPr fontId="3" type="noConversion"/>
  </si>
  <si>
    <t>2|未将操作风险纳入省级分公司和中心支公司销售、承保、保全部门负责人考核体系</t>
    <phoneticPr fontId="3" type="noConversion"/>
  </si>
  <si>
    <t>Q2</t>
    <phoneticPr fontId="3" type="noConversion"/>
  </si>
  <si>
    <t>Q2得分</t>
    <phoneticPr fontId="3" type="noConversion"/>
  </si>
  <si>
    <t>直接评分扣分项</t>
    <phoneticPr fontId="12" type="noConversion"/>
  </si>
  <si>
    <t>直接评分扣分</t>
    <phoneticPr fontId="12" type="noConversion"/>
  </si>
  <si>
    <t>数据提供部门</t>
    <phoneticPr fontId="3" type="noConversion"/>
  </si>
  <si>
    <t>OR08扣分情况</t>
    <phoneticPr fontId="3" type="noConversion"/>
  </si>
  <si>
    <t>直接评分得分</t>
    <phoneticPr fontId="3" type="noConversion"/>
  </si>
  <si>
    <t>行业水平确定可得</t>
    <phoneticPr fontId="3" type="noConversion"/>
  </si>
  <si>
    <t>行业水平总分</t>
    <phoneticPr fontId="3" type="noConversion"/>
  </si>
  <si>
    <t>直接评分总分</t>
    <phoneticPr fontId="3" type="noConversion"/>
  </si>
  <si>
    <t>直接评分扣分</t>
    <phoneticPr fontId="3" type="noConversion"/>
  </si>
  <si>
    <t>Q2得分</t>
    <phoneticPr fontId="3" type="noConversion"/>
  </si>
  <si>
    <t>1|公司理赔信息系统与接报案系统对接，理赔信息系统中报案时间由接报案系统直接导入，报案时间无法手工修改</t>
    <phoneticPr fontId="3" type="noConversion"/>
  </si>
  <si>
    <t>未发现</t>
    <phoneticPr fontId="3" type="noConversion"/>
  </si>
  <si>
    <t>4个季度</t>
    <phoneticPr fontId="3" type="noConversion"/>
  </si>
  <si>
    <t>分渠道拆分明细</t>
    <phoneticPr fontId="3" type="noConversion"/>
  </si>
  <si>
    <t>DW系统RP6-1报表</t>
    <phoneticPr fontId="3" type="noConversion"/>
  </si>
  <si>
    <t>DW系统RP6-1报表</t>
    <phoneticPr fontId="3" type="noConversion"/>
  </si>
  <si>
    <t>分渠道拆分明细</t>
    <phoneticPr fontId="3"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</si>
  <si>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3" type="noConversion"/>
  </si>
  <si>
    <t>总公司客服部找戚悦提供</t>
    <phoneticPr fontId="3" type="noConversion"/>
  </si>
  <si>
    <t>总公司客服部找戚悦提供</t>
    <phoneticPr fontId="3" type="noConversion"/>
  </si>
  <si>
    <t>评估期内</t>
    <phoneticPr fontId="3" type="noConversion"/>
  </si>
  <si>
    <t>4个季度</t>
    <phoneticPr fontId="3" type="noConversion"/>
  </si>
  <si>
    <t>公司销售、承保、保全环节重大操作风险事件的次数</t>
    <phoneticPr fontId="3" type="noConversion"/>
  </si>
  <si>
    <t>扣分项</t>
    <phoneticPr fontId="3" type="noConversion"/>
  </si>
  <si>
    <t>不扣分</t>
    <phoneticPr fontId="3" type="noConversion"/>
  </si>
  <si>
    <t>评估期内</t>
    <phoneticPr fontId="3"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</si>
  <si>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3" type="noConversion"/>
  </si>
  <si>
    <t>行业水平评分</t>
    <phoneticPr fontId="3" type="noConversion"/>
  </si>
  <si>
    <t>总分</t>
    <phoneticPr fontId="3" type="noConversion"/>
  </si>
  <si>
    <t>直接评分总分</t>
    <phoneticPr fontId="3" type="noConversion"/>
  </si>
  <si>
    <t>直接评分扣分</t>
    <phoneticPr fontId="3" type="noConversion"/>
  </si>
  <si>
    <t>行业水平总分</t>
    <phoneticPr fontId="3" type="noConversion"/>
  </si>
  <si>
    <t>公式行</t>
    <phoneticPr fontId="3" type="noConversion"/>
  </si>
  <si>
    <t>直接评分</t>
    <phoneticPr fontId="3" type="noConversion"/>
  </si>
  <si>
    <t>行业水平确定评分</t>
    <phoneticPr fontId="3" type="noConversion"/>
  </si>
  <si>
    <t>行业评分无法确定</t>
    <phoneticPr fontId="12" type="noConversion"/>
  </si>
  <si>
    <t>监管评分</t>
    <phoneticPr fontId="12" type="noConversion"/>
  </si>
  <si>
    <t>直接评分扣分</t>
    <phoneticPr fontId="12" type="noConversion"/>
  </si>
  <si>
    <t>OR13扣分情况</t>
    <phoneticPr fontId="3" type="noConversion"/>
  </si>
  <si>
    <t>数据提供部门</t>
    <phoneticPr fontId="3" type="noConversion"/>
  </si>
  <si>
    <t>统计期间</t>
    <phoneticPr fontId="3" type="noConversion"/>
  </si>
  <si>
    <t>证据</t>
    <phoneticPr fontId="3" type="noConversion"/>
  </si>
  <si>
    <t>Q2</t>
    <phoneticPr fontId="3" type="noConversion"/>
  </si>
  <si>
    <t>评分标准</t>
    <phoneticPr fontId="12" type="noConversion"/>
  </si>
  <si>
    <t>行业排序得分</t>
    <phoneticPr fontId="12" type="noConversion"/>
  </si>
  <si>
    <t>直接评分</t>
    <phoneticPr fontId="12" type="noConversion"/>
  </si>
  <si>
    <t>直接评分</t>
    <phoneticPr fontId="12" type="noConversion"/>
  </si>
  <si>
    <t>行业排序评分</t>
    <phoneticPr fontId="12" type="noConversion"/>
  </si>
  <si>
    <t>行业排序评分</t>
    <phoneticPr fontId="12" type="noConversion"/>
  </si>
  <si>
    <t>行业水平评分</t>
    <phoneticPr fontId="12" type="noConversion"/>
  </si>
  <si>
    <t>Q1评分</t>
    <phoneticPr fontId="3" type="noConversion"/>
  </si>
  <si>
    <t>直接评分总分</t>
    <phoneticPr fontId="12" type="noConversion"/>
  </si>
  <si>
    <t>行业排序总分</t>
    <phoneticPr fontId="12" type="noConversion"/>
  </si>
  <si>
    <t>行业水平总分</t>
    <phoneticPr fontId="12" type="noConversion"/>
  </si>
  <si>
    <t>行业排序扣分</t>
    <phoneticPr fontId="12" type="noConversion"/>
  </si>
  <si>
    <t>行业水平扣分</t>
    <phoneticPr fontId="12" type="noConversion"/>
  </si>
  <si>
    <t>直接评分扣分</t>
    <phoneticPr fontId="12" type="noConversion"/>
  </si>
  <si>
    <t>总公司信息技术部</t>
    <phoneticPr fontId="3" type="noConversion"/>
  </si>
  <si>
    <t>直接评分</t>
    <phoneticPr fontId="3" type="noConversion"/>
  </si>
  <si>
    <t>评估期末时点</t>
    <phoneticPr fontId="3" type="noConversion"/>
  </si>
  <si>
    <t>设行业平均水平为θ，评分为：x&lt;θ，10分；θ≤x&lt;1.5θ，5分；1.5θ≤x&lt;2θ，2分；2θ≤x，0分。</t>
    <phoneticPr fontId="3" type="noConversion"/>
  </si>
  <si>
    <t>4个季度</t>
    <phoneticPr fontId="3" type="noConversion"/>
  </si>
  <si>
    <t>得分</t>
    <phoneticPr fontId="3" type="noConversion"/>
  </si>
  <si>
    <t>满分</t>
    <phoneticPr fontId="3" type="noConversion"/>
  </si>
  <si>
    <t>公式行</t>
    <phoneticPr fontId="3" type="noConversion"/>
  </si>
  <si>
    <t>行业评分无法确定</t>
    <phoneticPr fontId="12" type="noConversion"/>
  </si>
  <si>
    <t>监管评分</t>
    <phoneticPr fontId="12" type="noConversion"/>
  </si>
  <si>
    <t>扣分项</t>
    <phoneticPr fontId="12" type="noConversion"/>
  </si>
  <si>
    <t>行业评分确定可得</t>
    <phoneticPr fontId="12" type="noConversion"/>
  </si>
  <si>
    <t>√</t>
    <phoneticPr fontId="12" type="noConversion"/>
  </si>
  <si>
    <t>Q2评分</t>
    <phoneticPr fontId="3" type="noConversion"/>
  </si>
  <si>
    <t>Q1评分</t>
    <phoneticPr fontId="3" type="noConversion"/>
  </si>
  <si>
    <t>直接评分总分</t>
    <phoneticPr fontId="12" type="noConversion"/>
  </si>
  <si>
    <t>行业排序总分</t>
    <phoneticPr fontId="12" type="noConversion"/>
  </si>
  <si>
    <t>行业排序扣分</t>
    <phoneticPr fontId="12" type="noConversion"/>
  </si>
  <si>
    <t>行业水平扣分</t>
    <phoneticPr fontId="12" type="noConversion"/>
  </si>
  <si>
    <t>责任部门</t>
    <phoneticPr fontId="3" type="noConversion"/>
  </si>
  <si>
    <t>评估期末时点</t>
    <phoneticPr fontId="3" type="noConversion"/>
  </si>
  <si>
    <t>4个季度</t>
    <phoneticPr fontId="3" type="noConversion"/>
  </si>
  <si>
    <t>分值</t>
    <phoneticPr fontId="3" type="noConversion"/>
  </si>
  <si>
    <t>证据</t>
    <phoneticPr fontId="3" type="noConversion"/>
  </si>
  <si>
    <t>数据校验</t>
    <phoneticPr fontId="3" type="noConversion"/>
  </si>
  <si>
    <t>评分标准</t>
    <phoneticPr fontId="3" type="noConversion"/>
  </si>
  <si>
    <t>扣分项</t>
    <phoneticPr fontId="3" type="noConversion"/>
  </si>
  <si>
    <t>变动幅度</t>
    <phoneticPr fontId="3" type="noConversion"/>
  </si>
  <si>
    <t>OR04得分情况</t>
    <phoneticPr fontId="3" type="noConversion"/>
  </si>
  <si>
    <t>两季分数差</t>
    <phoneticPr fontId="3" type="noConversion"/>
  </si>
  <si>
    <t>自我评价</t>
    <phoneticPr fontId="3" type="noConversion"/>
  </si>
  <si>
    <t>是</t>
    <phoneticPr fontId="3" type="noConversion"/>
  </si>
  <si>
    <t>不适用</t>
    <phoneticPr fontId="3" type="noConversion"/>
  </si>
  <si>
    <t>否</t>
    <phoneticPr fontId="3" type="noConversion"/>
  </si>
  <si>
    <t>直接评分总分</t>
    <phoneticPr fontId="12" type="noConversion"/>
  </si>
  <si>
    <t>行业水平评分总分</t>
    <phoneticPr fontId="12" type="noConversion"/>
  </si>
  <si>
    <t>行业水平扣分</t>
    <phoneticPr fontId="12" type="noConversion"/>
  </si>
  <si>
    <t>行业水平评分总分</t>
    <phoneticPr fontId="3" type="noConversion"/>
  </si>
  <si>
    <t>直接评分扣分</t>
    <phoneticPr fontId="3" type="noConversion"/>
  </si>
  <si>
    <t>行业水平评分扣分</t>
    <phoneticPr fontId="3" type="noConversion"/>
  </si>
  <si>
    <t>数据校验</t>
    <phoneticPr fontId="3" type="noConversion"/>
  </si>
  <si>
    <t>指标说明</t>
    <phoneticPr fontId="3" type="noConversion"/>
  </si>
  <si>
    <t>评分规则</t>
    <phoneticPr fontId="3" type="noConversion"/>
  </si>
  <si>
    <t>Q2</t>
    <phoneticPr fontId="3" type="noConversion"/>
  </si>
  <si>
    <t>分数差</t>
    <phoneticPr fontId="3" type="noConversion"/>
  </si>
  <si>
    <t>直接评分总分</t>
    <phoneticPr fontId="12" type="noConversion"/>
  </si>
  <si>
    <t>Q1评分</t>
    <phoneticPr fontId="3" type="noConversion"/>
  </si>
  <si>
    <t>Q1得分</t>
    <phoneticPr fontId="3" type="noConversion"/>
  </si>
  <si>
    <t xml:space="preserve"> Q1评分</t>
    <phoneticPr fontId="3" type="noConversion"/>
  </si>
  <si>
    <t>操作风险</t>
    <phoneticPr fontId="3" type="noConversion"/>
  </si>
  <si>
    <t>销售、承保、保全业务线</t>
    <phoneticPr fontId="3" type="noConversion"/>
  </si>
  <si>
    <t>≥40</t>
  </si>
  <si>
    <t>1/9</t>
    <phoneticPr fontId="3" type="noConversion"/>
  </si>
  <si>
    <t>1/18</t>
    <phoneticPr fontId="3" type="noConversion"/>
  </si>
  <si>
    <t>1/36</t>
    <phoneticPr fontId="3" type="noConversion"/>
  </si>
  <si>
    <t>理赔业务线</t>
    <phoneticPr fontId="3" type="noConversion"/>
  </si>
  <si>
    <t>财务管理</t>
    <phoneticPr fontId="3" type="noConversion"/>
  </si>
  <si>
    <t>资金运用业务线</t>
    <phoneticPr fontId="3" type="noConversion"/>
  </si>
  <si>
    <t>—</t>
    <phoneticPr fontId="3" type="noConversion"/>
  </si>
  <si>
    <t>合规风险</t>
    <phoneticPr fontId="3" type="noConversion"/>
  </si>
  <si>
    <t>无扣分</t>
    <phoneticPr fontId="3" type="noConversion"/>
  </si>
  <si>
    <t>公司治理业务线</t>
    <phoneticPr fontId="3" type="noConversion"/>
  </si>
  <si>
    <t>准备金、再保险管理</t>
    <phoneticPr fontId="3" type="noConversion"/>
  </si>
  <si>
    <t>2/9</t>
    <phoneticPr fontId="3" type="noConversion"/>
  </si>
  <si>
    <t>信息系统</t>
    <phoneticPr fontId="3" type="noConversion"/>
  </si>
  <si>
    <t>案件管理</t>
    <phoneticPr fontId="3" type="noConversion"/>
  </si>
  <si>
    <t>小计</t>
    <phoneticPr fontId="3" type="noConversion"/>
  </si>
  <si>
    <t>≥70</t>
  </si>
  <si>
    <t>100%</t>
    <phoneticPr fontId="3" type="noConversion"/>
  </si>
  <si>
    <t>战略风险</t>
    <phoneticPr fontId="3" type="noConversion"/>
  </si>
  <si>
    <t>声誉风险</t>
    <phoneticPr fontId="3" type="noConversion"/>
  </si>
  <si>
    <t>流动性风险</t>
    <phoneticPr fontId="3" type="noConversion"/>
  </si>
  <si>
    <t>≥80</t>
  </si>
  <si>
    <t>量化风险</t>
    <phoneticPr fontId="3" type="noConversion"/>
  </si>
  <si>
    <t>风险综合评级</t>
    <phoneticPr fontId="3" type="noConversion"/>
  </si>
  <si>
    <t>≥90</t>
    <phoneticPr fontId="3" type="noConversion"/>
  </si>
  <si>
    <t>加权</t>
    <phoneticPr fontId="3" type="noConversion"/>
  </si>
  <si>
    <t>占操作风险</t>
    <phoneticPr fontId="3" type="noConversion"/>
  </si>
  <si>
    <t>占难以量化</t>
    <phoneticPr fontId="3" type="noConversion"/>
  </si>
  <si>
    <t>加权</t>
    <phoneticPr fontId="12" type="noConversion"/>
  </si>
  <si>
    <t>占操作风险</t>
    <phoneticPr fontId="12" type="noConversion"/>
  </si>
  <si>
    <t>占难以量化</t>
    <phoneticPr fontId="12" type="noConversion"/>
  </si>
  <si>
    <t>加权</t>
    <phoneticPr fontId="12" type="noConversion"/>
  </si>
  <si>
    <t>占操作风险</t>
    <phoneticPr fontId="12" type="noConversion"/>
  </si>
  <si>
    <t>占加权平均</t>
    <phoneticPr fontId="12" type="noConversion"/>
  </si>
  <si>
    <t>加权</t>
    <phoneticPr fontId="3" type="noConversion"/>
  </si>
  <si>
    <t>占操作风险</t>
    <phoneticPr fontId="3" type="noConversion"/>
  </si>
  <si>
    <t>占难以量化</t>
    <phoneticPr fontId="3" type="noConversion"/>
  </si>
  <si>
    <t>加权</t>
    <phoneticPr fontId="3" type="noConversion"/>
  </si>
  <si>
    <t>占操作风险</t>
    <phoneticPr fontId="3" type="noConversion"/>
  </si>
  <si>
    <t>权重!A1</t>
  </si>
  <si>
    <t>扣分</t>
    <phoneticPr fontId="3" type="noConversion"/>
  </si>
  <si>
    <t>得分</t>
    <phoneticPr fontId="3" type="noConversion"/>
  </si>
  <si>
    <t>Q2评分</t>
    <phoneticPr fontId="3" type="noConversion"/>
  </si>
  <si>
    <t>总分</t>
    <phoneticPr fontId="3" type="noConversion"/>
  </si>
  <si>
    <t>评估项目</t>
    <phoneticPr fontId="3" type="noConversion"/>
  </si>
  <si>
    <t>A类评级标准</t>
    <phoneticPr fontId="3" type="noConversion"/>
  </si>
  <si>
    <t>得分</t>
    <phoneticPr fontId="3" type="noConversion"/>
  </si>
  <si>
    <t>总公司得分</t>
    <phoneticPr fontId="3" type="noConversion"/>
  </si>
  <si>
    <t>分公司得分</t>
    <phoneticPr fontId="3" type="noConversion"/>
  </si>
  <si>
    <t>权重</t>
    <phoneticPr fontId="3" type="noConversion"/>
  </si>
  <si>
    <t>占本类风险的比重</t>
    <phoneticPr fontId="3" type="noConversion"/>
  </si>
  <si>
    <t>占难以量化风险的比重</t>
    <phoneticPr fontId="3" type="noConversion"/>
  </si>
  <si>
    <t>占总风险的比重</t>
    <phoneticPr fontId="3" type="noConversion"/>
  </si>
  <si>
    <t>总公司</t>
    <phoneticPr fontId="3" type="noConversion"/>
  </si>
  <si>
    <t>分公司</t>
    <phoneticPr fontId="3" type="noConversion"/>
  </si>
  <si>
    <t>北京</t>
    <phoneticPr fontId="3" type="noConversion"/>
  </si>
  <si>
    <t>天津</t>
    <phoneticPr fontId="3" type="noConversion"/>
  </si>
  <si>
    <t>辽宁</t>
    <phoneticPr fontId="3" type="noConversion"/>
  </si>
  <si>
    <t>大连</t>
    <phoneticPr fontId="3" type="noConversion"/>
  </si>
  <si>
    <t>江苏</t>
    <phoneticPr fontId="3" type="noConversion"/>
  </si>
  <si>
    <t>山东</t>
    <phoneticPr fontId="3" type="noConversion"/>
  </si>
  <si>
    <t>青岛</t>
    <phoneticPr fontId="3" type="noConversion"/>
  </si>
  <si>
    <t>河南</t>
    <phoneticPr fontId="3" type="noConversion"/>
  </si>
  <si>
    <t>广东</t>
    <phoneticPr fontId="3" type="noConversion"/>
  </si>
  <si>
    <t>四川</t>
    <phoneticPr fontId="3" type="noConversion"/>
  </si>
  <si>
    <t>风险综合评级</t>
    <phoneticPr fontId="3" type="noConversion"/>
  </si>
  <si>
    <t>战略风险</t>
    <phoneticPr fontId="3" type="noConversion"/>
  </si>
  <si>
    <t>声誉风险</t>
    <phoneticPr fontId="3" type="noConversion"/>
  </si>
  <si>
    <t>流动性风险</t>
    <phoneticPr fontId="3" type="noConversion"/>
  </si>
  <si>
    <t>难以量化风险合计</t>
    <phoneticPr fontId="3" type="noConversion"/>
  </si>
  <si>
    <t>量化风险</t>
    <phoneticPr fontId="3" type="noConversion"/>
  </si>
  <si>
    <t>操作风险</t>
    <phoneticPr fontId="3" type="noConversion"/>
  </si>
  <si>
    <t>小计</t>
    <phoneticPr fontId="3" type="noConversion"/>
  </si>
  <si>
    <t>直接确定可得</t>
    <phoneticPr fontId="3" type="noConversion"/>
  </si>
  <si>
    <t>行业水平确定可得</t>
    <phoneticPr fontId="3" type="noConversion"/>
  </si>
  <si>
    <t>行业无法确定</t>
    <phoneticPr fontId="3" type="noConversion"/>
  </si>
  <si>
    <t>监管评分</t>
    <phoneticPr fontId="3" type="noConversion"/>
  </si>
  <si>
    <t>1/9</t>
    <phoneticPr fontId="3" type="noConversion"/>
  </si>
  <si>
    <t>1/18</t>
    <phoneticPr fontId="3" type="noConversion"/>
  </si>
  <si>
    <t>1/36</t>
    <phoneticPr fontId="3" type="noConversion"/>
  </si>
  <si>
    <t>—</t>
    <phoneticPr fontId="3" type="noConversion"/>
  </si>
  <si>
    <t>2/9</t>
    <phoneticPr fontId="3" type="noConversion"/>
  </si>
  <si>
    <t>100%</t>
    <phoneticPr fontId="3" type="noConversion"/>
  </si>
  <si>
    <t>&lt;不适用&gt;</t>
    <phoneticPr fontId="12" type="noConversion"/>
  </si>
  <si>
    <t>直接扣分</t>
    <phoneticPr fontId="3" type="noConversion"/>
  </si>
  <si>
    <t>总公司扣分</t>
    <phoneticPr fontId="3" type="noConversion"/>
  </si>
  <si>
    <t>分公司扣分</t>
    <phoneticPr fontId="3" type="noConversion"/>
  </si>
  <si>
    <t>目录!A1</t>
  </si>
  <si>
    <r>
      <rPr>
        <b/>
        <sz val="11"/>
        <color theme="9"/>
        <rFont val="微软雅黑"/>
        <family val="2"/>
        <charset val="134"/>
      </rPr>
      <t>橙色为扣分：</t>
    </r>
    <r>
      <rPr>
        <b/>
        <sz val="11"/>
        <color rgb="FF00B050"/>
        <rFont val="微软雅黑"/>
        <family val="2"/>
        <charset val="134"/>
      </rPr>
      <t>绿色为扣分改善</t>
    </r>
    <r>
      <rPr>
        <b/>
        <sz val="11"/>
        <rFont val="微软雅黑"/>
        <family val="2"/>
        <charset val="134"/>
      </rPr>
      <t xml:space="preserve"> </t>
    </r>
    <r>
      <rPr>
        <b/>
        <sz val="11"/>
        <color rgb="FFFF0000"/>
        <rFont val="微软雅黑"/>
        <family val="2"/>
        <charset val="134"/>
      </rPr>
      <t>红色为扣分恶化</t>
    </r>
    <r>
      <rPr>
        <b/>
        <sz val="11"/>
        <rFont val="微软雅黑"/>
        <family val="2"/>
        <charset val="134"/>
      </rPr>
      <t/>
    </r>
    <phoneticPr fontId="3" type="noConversion"/>
  </si>
  <si>
    <t>分数差</t>
    <phoneticPr fontId="3" type="noConversion"/>
  </si>
  <si>
    <t>分数差</t>
    <phoneticPr fontId="3" type="noConversion"/>
  </si>
  <si>
    <t>占总</t>
    <phoneticPr fontId="3" type="noConversion"/>
  </si>
  <si>
    <t>目    录</t>
    <phoneticPr fontId="3" type="noConversion"/>
  </si>
  <si>
    <t>Q2</t>
    <phoneticPr fontId="3" type="noConversion"/>
  </si>
  <si>
    <t>-</t>
    <phoneticPr fontId="3" type="noConversion"/>
  </si>
  <si>
    <t>+</t>
    <phoneticPr fontId="3" type="noConversion"/>
  </si>
  <si>
    <t xml:space="preserve">名称 </t>
    <rPh sb="0" eb="1">
      <t>ming'cheng</t>
    </rPh>
    <phoneticPr fontId="3" type="noConversion"/>
  </si>
  <si>
    <t>占总</t>
    <rPh sb="0" eb="1">
      <t>zhan</t>
    </rPh>
    <rPh sb="1" eb="2">
      <t>zongshu'zhi</t>
    </rPh>
    <phoneticPr fontId="3" type="noConversion"/>
  </si>
  <si>
    <t>①</t>
    <phoneticPr fontId="3" type="noConversion"/>
  </si>
  <si>
    <t>②</t>
    <phoneticPr fontId="3" type="noConversion"/>
  </si>
  <si>
    <t>③</t>
    <phoneticPr fontId="3" type="noConversion"/>
  </si>
  <si>
    <t>Q2百分制得分</t>
    <phoneticPr fontId="3" type="noConversion"/>
  </si>
  <si>
    <t>分数差</t>
    <phoneticPr fontId="3" type="noConversion"/>
  </si>
  <si>
    <t>扣分项</t>
    <phoneticPr fontId="3" type="noConversion"/>
  </si>
  <si>
    <t>无</t>
    <phoneticPr fontId="3" type="noConversion"/>
  </si>
  <si>
    <t>Q2评分</t>
    <phoneticPr fontId="12" type="noConversion"/>
  </si>
  <si>
    <t>评估时点之前12个月违规销售非保险金融产品事件的次数</t>
    <phoneticPr fontId="12" type="noConversion"/>
  </si>
  <si>
    <t>操作风险  直接扣分</t>
    <phoneticPr fontId="3" type="noConversion"/>
  </si>
  <si>
    <t>战略风险  直接扣分</t>
    <phoneticPr fontId="3" type="noConversion"/>
  </si>
  <si>
    <t>流动性风险  直接扣分</t>
    <phoneticPr fontId="3" type="noConversion"/>
  </si>
  <si>
    <t>声誉风险</t>
    <phoneticPr fontId="3" type="noConversion"/>
  </si>
  <si>
    <t>朱路总、刘峰总、任硕、边绍泉、朱逸寒</t>
    <phoneticPr fontId="3" type="noConversion"/>
  </si>
  <si>
    <t>投研人员JD（于洋、王向宇、王宇恒、康赛、张宇）截止至6月30日</t>
  </si>
  <si>
    <t>刘总5次，贾总2次、王总1次、陈总6次</t>
  </si>
  <si>
    <t xml:space="preserve">监管培训20人次，政府报告培训22人次，资产配置培训17人次,股指期货培训20人次
</t>
    <phoneticPr fontId="3" type="noConversion"/>
  </si>
  <si>
    <t>最近4个季度，监管部门发现公司存在费用管理操作风险事件的，每项次扣3分；公司自查发现公司存在费用管理操作风险事件的，每项次扣0.5分，扣完12分为止。</t>
    <phoneticPr fontId="3" type="noConversion"/>
  </si>
  <si>
    <t>最近4个季度监管部门发现资金管理类操作风险事件次数</t>
    <phoneticPr fontId="3" type="noConversion"/>
  </si>
  <si>
    <t>金刚</t>
    <phoneticPr fontId="3" type="noConversion"/>
  </si>
  <si>
    <t>总公司财务部</t>
    <phoneticPr fontId="12" type="noConversion"/>
  </si>
  <si>
    <t>2018年第2季度</t>
  </si>
  <si>
    <t>在北京市行政辖区内经营下列业务（法定保险业务除外）（一）人寿保险、健康保险和意外伤害保险等保险业务；（二）上款业务的再保险业务。</t>
  </si>
  <si>
    <t>范明宇</t>
  </si>
  <si>
    <t>010-59235771</t>
  </si>
  <si>
    <t>BJ.mingyu_fan@hengansl.com</t>
  </si>
  <si>
    <t>18Q2结果</t>
    <phoneticPr fontId="3" type="noConversion"/>
  </si>
  <si>
    <t>18Q2评分</t>
    <phoneticPr fontId="3" type="noConversion"/>
  </si>
  <si>
    <t>保险公司流动性风险评价标准</t>
    <phoneticPr fontId="3" type="noConversion"/>
  </si>
  <si>
    <t>中介协议签订率=100%，得1分；否则，得0分。</t>
    <phoneticPr fontId="49" type="noConversion"/>
  </si>
  <si>
    <t>李春贵事件过期，曲春凤事件过期</t>
    <phoneticPr fontId="3" type="noConversion"/>
  </si>
  <si>
    <t>赵玉梅诉辽宁琛德保险代理有限公司理赔纠纷案件过期</t>
    <phoneticPr fontId="12" type="noConversion"/>
  </si>
  <si>
    <t>最近4个季度投连险独立账户本年新增交费</t>
    <phoneticPr fontId="3" type="noConversion"/>
  </si>
  <si>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phoneticPr fontId="3" type="noConversion"/>
  </si>
  <si>
    <t>四川</t>
    <phoneticPr fontId="3" type="noConversion"/>
  </si>
  <si>
    <t>郑广荣</t>
  </si>
  <si>
    <t>（一）人寿保险、健康保险和意外伤害保险等保险业务；（二）上款保险的再保险业务</t>
  </si>
  <si>
    <t>孙德明</t>
  </si>
  <si>
    <t>020-62160199-8096</t>
  </si>
  <si>
    <t>020-62160010</t>
  </si>
  <si>
    <t>GZ.Deming_Sun@hengansl.com</t>
  </si>
  <si>
    <t>广东省广州市华夏路13号南岳大厦502房之一</t>
    <phoneticPr fontId="12" type="noConversion"/>
  </si>
  <si>
    <t>Heng An Standard Life Insurance company Limited ShanDong Branch</t>
    <phoneticPr fontId="3" type="noConversion"/>
  </si>
  <si>
    <t>Heng An Standard Life Insurance Company Limited Guangdong Branch</t>
    <phoneticPr fontId="3" type="noConversion"/>
  </si>
  <si>
    <t>Heng An Standard Life Insurance Company Limited Dalian Branch</t>
    <phoneticPr fontId="3" type="noConversion"/>
  </si>
  <si>
    <t>Heng An Standard Life Insurance Company Limited, Qingdao Branch</t>
    <phoneticPr fontId="3" type="noConversion"/>
  </si>
  <si>
    <t>000056440000</t>
    <phoneticPr fontId="12" type="noConversion"/>
  </si>
  <si>
    <t>销售人员管理操作风险事件指公司存在销售人员侵占或挪用客户资金，截留保费，参与非法集资，违规销售非保险金融产品等情形。</t>
    <phoneticPr fontId="3" type="noConversion"/>
  </si>
  <si>
    <t>最近4个季度公司自查发现展业操作风险事件次数</t>
    <phoneticPr fontId="3" type="noConversion"/>
  </si>
  <si>
    <t>评估期内承保的保单中完成回访的保单件数</t>
    <phoneticPr fontId="3" type="noConversion"/>
  </si>
  <si>
    <t>最近4个季度公司因反洗钱工作被监管部门下发监管函的次数</t>
    <phoneticPr fontId="3" type="noConversion"/>
  </si>
  <si>
    <t>最近4个季度公司自查发现承保管理操作风险事件次数</t>
    <phoneticPr fontId="3" type="noConversion"/>
  </si>
  <si>
    <t>最近4个季度公司自查发现保全管理操作风险事件的次数</t>
    <phoneticPr fontId="3" type="noConversion"/>
  </si>
  <si>
    <t>评估期期末省级分公司及中心支公司理赔部门负责人人数</t>
    <phoneticPr fontId="3" type="noConversion"/>
  </si>
  <si>
    <t>评估期期末省级分公司及中心支公司理赔部门负责人具有保险理赔工作5年以上相关从业经验人数</t>
    <phoneticPr fontId="3" type="noConversion"/>
  </si>
  <si>
    <t>理赔服务时效</t>
    <phoneticPr fontId="3" type="noConversion"/>
  </si>
  <si>
    <t>财会部门人员流失率</t>
    <phoneticPr fontId="3" type="noConversion"/>
  </si>
  <si>
    <t>银行账户集中管理</t>
    <phoneticPr fontId="3" type="noConversion"/>
  </si>
  <si>
    <t>空白单证缺失率</t>
    <phoneticPr fontId="3" type="noConversion"/>
  </si>
  <si>
    <t>评估期末非寿险业务应收保费余额</t>
    <phoneticPr fontId="3" type="noConversion"/>
  </si>
  <si>
    <t>评估期内公司对销售人员实施内部责任追究的人次</t>
    <phoneticPr fontId="12" type="noConversion"/>
  </si>
  <si>
    <r>
      <rPr>
        <b/>
        <sz val="11"/>
        <color rgb="FF00B050"/>
        <rFont val="宋体"/>
        <family val="3"/>
        <charset val="134"/>
        <scheme val="minor"/>
      </rPr>
      <t>绿色比上一季度好转</t>
    </r>
    <r>
      <rPr>
        <b/>
        <sz val="11"/>
        <color theme="1"/>
        <rFont val="宋体"/>
        <family val="3"/>
        <charset val="134"/>
        <scheme val="minor"/>
      </rPr>
      <t>，</t>
    </r>
    <r>
      <rPr>
        <b/>
        <sz val="11"/>
        <color theme="9"/>
        <rFont val="宋体"/>
        <family val="3"/>
        <charset val="134"/>
        <scheme val="minor"/>
      </rPr>
      <t>橙色比上一季度恶化</t>
    </r>
    <phoneticPr fontId="3" type="noConversion"/>
  </si>
  <si>
    <t>最近4个季度监管部门发现费用管理操作风险事件次数</t>
    <phoneticPr fontId="3" type="noConversion"/>
  </si>
  <si>
    <t>电话回访成功率</t>
    <phoneticPr fontId="12" type="noConversion"/>
  </si>
  <si>
    <t>客户信息真实性比例</t>
    <phoneticPr fontId="12" type="noConversion"/>
  </si>
  <si>
    <t>评估期公司审核发现存在客户信息缺失、虚假问题的保单件数</t>
    <phoneticPr fontId="12" type="noConversion"/>
  </si>
  <si>
    <t>评估期公司开展客户信息真实性审核的保单件数</t>
    <phoneticPr fontId="12" type="noConversion"/>
  </si>
  <si>
    <t>具有3年以上理赔工作经验的人员占比</t>
    <phoneticPr fontId="3" type="noConversion"/>
  </si>
  <si>
    <t>从事保全工作时间5年以上的人员和从事保全工作时间1年以下的人员合计占全部保全工作人员比例</t>
    <phoneticPr fontId="3" type="noConversion"/>
  </si>
  <si>
    <t>索赔核定平均时长</t>
    <phoneticPr fontId="3" type="noConversion"/>
  </si>
  <si>
    <t>赔款支付平均时长</t>
    <phoneticPr fontId="3" type="noConversion"/>
  </si>
  <si>
    <t>保全处理平均时长</t>
    <phoneticPr fontId="3" type="noConversion"/>
  </si>
  <si>
    <t>投诉处理平均时长</t>
    <phoneticPr fontId="3" type="noConversion"/>
  </si>
  <si>
    <t>评估时点之前12个月保险公司接到的关于理赔、保全业务线的诉讼败诉件数</t>
    <phoneticPr fontId="3" type="noConversion"/>
  </si>
  <si>
    <t>财会部门主要负责人专业性</t>
    <phoneticPr fontId="12" type="noConversion"/>
  </si>
  <si>
    <t>最近4个季度资金管理操作风险事件次数</t>
    <phoneticPr fontId="12" type="noConversion"/>
  </si>
  <si>
    <t>最近4个季度内空白单证发放的数量</t>
    <phoneticPr fontId="12"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</si>
  <si>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12" type="noConversion"/>
  </si>
  <si>
    <t>90%&lt;x≤100%，70*X-63；
x≤90%，0。</t>
    <phoneticPr fontId="12" type="noConversion"/>
  </si>
  <si>
    <t>评估期内发现分支机构及其销售人员存在违规销售非保险金融产品的问题数量。                                                                                     
评估期为评估时点之前12个月。</t>
    <phoneticPr fontId="12" type="noConversion"/>
  </si>
  <si>
    <t>评估时点之前12个月保险公司接到的关于理赔、保全业务线的诉讼发生（不含当期败诉）件数</t>
    <phoneticPr fontId="3" type="noConversion"/>
  </si>
  <si>
    <t>3|其他</t>
    <phoneticPr fontId="12" type="noConversion"/>
  </si>
  <si>
    <t>空白单证缺失率</t>
    <phoneticPr fontId="12" type="noConversion"/>
  </si>
  <si>
    <t>总精算师变更次数</t>
    <phoneticPr fontId="3" type="noConversion"/>
  </si>
  <si>
    <t>检查发现再保险业务数据出现差错次数</t>
    <phoneticPr fontId="3" type="noConversion"/>
  </si>
  <si>
    <t>员工流失率</t>
    <phoneticPr fontId="3" type="noConversion"/>
  </si>
  <si>
    <t>代理制销售人员13个月留存率</t>
    <phoneticPr fontId="3" type="noConversion"/>
  </si>
  <si>
    <t>新契约回访完成率</t>
    <phoneticPr fontId="3" type="noConversion"/>
  </si>
  <si>
    <t xml:space="preserve"> 95%≤新契约回访完成率≤100%，得2分；90%≤新契约回访完成率&lt;95%，得1分；新契约回访完成率&lt;90% ，得0分。 </t>
    <phoneticPr fontId="3" type="noConversion"/>
  </si>
  <si>
    <t>续期收费率</t>
    <phoneticPr fontId="3" type="noConversion"/>
  </si>
  <si>
    <t>退（撤）保率</t>
    <phoneticPr fontId="3" type="noConversion"/>
  </si>
  <si>
    <t>理赔部门人员流失率</t>
    <phoneticPr fontId="3" type="noConversion"/>
  </si>
  <si>
    <t>评估期末理赔工作人员中具有3年以上理赔工作经验的人员占比。</t>
    <phoneticPr fontId="3" type="noConversion"/>
  </si>
  <si>
    <t>设行业平均水平为θ，评分为：
x&lt;0.85∙θ，4分；
0.85∙θ≤x&lt;1.25∙θ，6分；
1.25∙θ≤x&lt;1.5∙θ，8分；
1.5∙θ≤x，10分。</t>
    <phoneticPr fontId="3" type="noConversion"/>
  </si>
  <si>
    <t>财会部门人员流失率</t>
    <phoneticPr fontId="12" type="noConversion"/>
  </si>
  <si>
    <t>财会部门人员流失率小于或等于20％的，得2分；超过20％的，得0分。</t>
    <phoneticPr fontId="3" type="noConversion"/>
  </si>
  <si>
    <t>员工培训频率</t>
    <phoneticPr fontId="12" type="noConversion"/>
  </si>
  <si>
    <t>数据差错率</t>
    <phoneticPr fontId="12" type="noConversion"/>
  </si>
  <si>
    <t>最近4个季度内差错率少于1/10000的，得3分；否则，得0分。</t>
    <phoneticPr fontId="12" type="noConversion"/>
  </si>
  <si>
    <t>员工培训频率</t>
    <phoneticPr fontId="3" type="noConversion"/>
  </si>
  <si>
    <t>千张保单投诉量</t>
    <phoneticPr fontId="3" type="noConversion"/>
  </si>
  <si>
    <t>保单失效率≤3%,得3分；3%&lt;保单失效率≤5%,得1.5分;保单失效率&gt;5%,得0分。</t>
    <phoneticPr fontId="3" type="noConversion"/>
  </si>
  <si>
    <t>非寿险业务估损代数偏差率</t>
    <phoneticPr fontId="3" type="noConversion"/>
  </si>
  <si>
    <t>非寿险业务估损代数偏差率≤20%，得4分；非寿险业务估损代数偏差率＞20%，得0分。</t>
    <phoneticPr fontId="3"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</si>
  <si>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12" type="noConversion"/>
  </si>
  <si>
    <t>Q2得分</t>
    <phoneticPr fontId="3" type="noConversion"/>
  </si>
  <si>
    <t>表格</t>
    <phoneticPr fontId="3" type="noConversion"/>
  </si>
  <si>
    <t>指标</t>
    <phoneticPr fontId="3" type="noConversion"/>
  </si>
  <si>
    <t>权重分配</t>
    <phoneticPr fontId="3" type="noConversion"/>
  </si>
  <si>
    <t>分值</t>
    <phoneticPr fontId="3" type="noConversion"/>
  </si>
  <si>
    <t>部门负责人具有5年以上保险相关从业经验的占比</t>
    <phoneticPr fontId="3" type="noConversion"/>
  </si>
  <si>
    <t>员工流失率</t>
  </si>
  <si>
    <t>部门负责人培训次数</t>
  </si>
  <si>
    <t>业绩考核</t>
    <phoneticPr fontId="3" type="noConversion"/>
  </si>
  <si>
    <t>中介协议签订率</t>
    <phoneticPr fontId="49" type="noConversion"/>
  </si>
  <si>
    <t>销售人员协议签订率</t>
    <phoneticPr fontId="49" type="noConversion"/>
  </si>
  <si>
    <t>千张保单投诉量</t>
    <phoneticPr fontId="49" type="noConversion"/>
  </si>
  <si>
    <t>代理制销售人员13个月留存率</t>
  </si>
  <si>
    <t>最近4个季度公司自查发现展业操作风险事件次数</t>
    <phoneticPr fontId="3" type="noConversion"/>
  </si>
  <si>
    <t>承保标的风险评估</t>
    <phoneticPr fontId="3" type="noConversion"/>
  </si>
  <si>
    <t>犹豫期内电话回访成功率</t>
    <phoneticPr fontId="49" type="noConversion"/>
  </si>
  <si>
    <t>新契约回访完成率</t>
    <phoneticPr fontId="49" type="noConversion"/>
  </si>
  <si>
    <t>反洗钱操作风险事件</t>
    <phoneticPr fontId="49" type="noConversion"/>
  </si>
  <si>
    <t>最近4个季度公司自查发现承保管理操作风险事件次数</t>
    <phoneticPr fontId="49" type="noConversion"/>
  </si>
  <si>
    <t>续期收费率</t>
    <phoneticPr fontId="49" type="noConversion"/>
  </si>
  <si>
    <t>退（撤）保率</t>
    <phoneticPr fontId="49" type="noConversion"/>
  </si>
  <si>
    <t>保单失效率</t>
    <phoneticPr fontId="49" type="noConversion"/>
  </si>
  <si>
    <t>保全差错率</t>
    <phoneticPr fontId="49" type="noConversion"/>
  </si>
  <si>
    <t>保单质押贷款支付方式</t>
    <phoneticPr fontId="49" type="noConversion"/>
  </si>
  <si>
    <t>最近4个季度公司自查发现保全管理操作风险事件的次数</t>
    <phoneticPr fontId="49" type="noConversion"/>
  </si>
  <si>
    <t>重大操作风险事件调整（扣分项）</t>
    <phoneticPr fontId="49" type="noConversion"/>
  </si>
  <si>
    <t>账号管理安全</t>
    <phoneticPr fontId="49" type="noConversion"/>
  </si>
  <si>
    <t>佣金系统计提</t>
    <phoneticPr fontId="49" type="noConversion"/>
  </si>
  <si>
    <t>亿元保费销售、承保、保全操作风险事件数</t>
    <phoneticPr fontId="3" type="noConversion"/>
  </si>
  <si>
    <t>OR08-分公司理赔</t>
  </si>
  <si>
    <t>理赔部门负责人具有5年以上相关从业经验的占比</t>
  </si>
  <si>
    <t>理赔部门人员流失率</t>
  </si>
  <si>
    <t>理赔服务时效</t>
    <phoneticPr fontId="3" type="noConversion"/>
  </si>
  <si>
    <t>非寿险业务估损代数偏差率</t>
  </si>
  <si>
    <t>理赔档案管理</t>
  </si>
  <si>
    <t>理赔管理操作风险事件</t>
  </si>
  <si>
    <t>反欺诈操作风险事件</t>
  </si>
  <si>
    <t>GD</t>
    <phoneticPr fontId="3" type="noConversion"/>
  </si>
  <si>
    <t>账号管理安全</t>
  </si>
  <si>
    <t>系统对接</t>
  </si>
  <si>
    <t>亿元保费理赔操作风险事件数</t>
  </si>
  <si>
    <t>OR13-分公司财务管理</t>
  </si>
  <si>
    <t>省级分公司财会部门负责人从业经验</t>
    <phoneticPr fontId="3" type="noConversion"/>
  </si>
  <si>
    <t>财会部门人员流失率</t>
  </si>
  <si>
    <t>会计证持证率</t>
    <phoneticPr fontId="3" type="noConversion"/>
  </si>
  <si>
    <t>员工培训频率</t>
    <phoneticPr fontId="3" type="noConversion"/>
  </si>
  <si>
    <t>财务报告差错量</t>
  </si>
  <si>
    <t>财务核算操作风险事件</t>
  </si>
  <si>
    <t>最近4个季度公司自查发现资金业务操作风险事件次数</t>
    <phoneticPr fontId="3" type="noConversion"/>
  </si>
  <si>
    <t>费用预算执行情况</t>
    <phoneticPr fontId="3" type="noConversion"/>
  </si>
  <si>
    <t>最近4个季度公司自查发现费用管理操作风险事件次数</t>
    <phoneticPr fontId="3" type="noConversion"/>
  </si>
  <si>
    <t>空白单证缺失率</t>
  </si>
  <si>
    <t>最近4个季度税收操作风险事件次数</t>
    <phoneticPr fontId="3" type="noConversion"/>
  </si>
  <si>
    <t>最近4个季度公司自查发现单证印章管理操作风险事件次数</t>
    <phoneticPr fontId="3" type="noConversion"/>
  </si>
  <si>
    <t>重大操作风险事件调整（扣分项）</t>
    <phoneticPr fontId="49" type="noConversion"/>
  </si>
  <si>
    <t>亿元保费财务操作风险事件数</t>
    <phoneticPr fontId="3" type="noConversion"/>
  </si>
  <si>
    <t>加权评分</t>
    <phoneticPr fontId="3" type="noConversion"/>
  </si>
  <si>
    <t>得分</t>
    <phoneticPr fontId="3" type="noConversion"/>
  </si>
  <si>
    <t>基于声誉风险的调整</t>
    <phoneticPr fontId="3" type="noConversion"/>
  </si>
  <si>
    <t>基于战略风险的调整</t>
    <phoneticPr fontId="3" type="noConversion"/>
  </si>
  <si>
    <t>基于流动性风险的调整</t>
    <phoneticPr fontId="3" type="noConversion"/>
  </si>
  <si>
    <t>绩效得分</t>
    <phoneticPr fontId="3" type="noConversion"/>
  </si>
  <si>
    <t>IRR指标得分</t>
    <phoneticPr fontId="3" type="noConversion"/>
  </si>
  <si>
    <t>非主动指标不扣分</t>
    <phoneticPr fontId="3" type="noConversion"/>
  </si>
  <si>
    <t>IRR指标得分</t>
    <phoneticPr fontId="3" type="noConversion"/>
  </si>
  <si>
    <t>指标类型</t>
    <phoneticPr fontId="3" type="noConversion"/>
  </si>
  <si>
    <t>IRR指标</t>
    <phoneticPr fontId="3" type="noConversion"/>
  </si>
  <si>
    <t>IRR指标</t>
    <phoneticPr fontId="3" type="noConversion"/>
  </si>
  <si>
    <t>行业水平</t>
    <phoneticPr fontId="3" type="noConversion"/>
  </si>
  <si>
    <t>IRR指标得分-扣分项</t>
    <phoneticPr fontId="3" type="noConversion"/>
  </si>
  <si>
    <t>行业排序-分公司排序</t>
    <phoneticPr fontId="3" type="noConversion"/>
  </si>
  <si>
    <t>最近4个季度部门负责人培训次数</t>
    <phoneticPr fontId="3" type="noConversion"/>
  </si>
  <si>
    <t>最近4个季度部门负责人培训次数</t>
    <phoneticPr fontId="3" type="noConversion"/>
  </si>
  <si>
    <t>BJ</t>
    <phoneticPr fontId="3" type="noConversion"/>
  </si>
  <si>
    <t>TJ</t>
    <phoneticPr fontId="3" type="noConversion"/>
  </si>
  <si>
    <t>LN</t>
    <phoneticPr fontId="3" type="noConversion"/>
  </si>
  <si>
    <t>DL</t>
    <phoneticPr fontId="3" type="noConversion"/>
  </si>
  <si>
    <t>SD</t>
    <phoneticPr fontId="3" type="noConversion"/>
  </si>
  <si>
    <t>QD</t>
    <phoneticPr fontId="3" type="noConversion"/>
  </si>
  <si>
    <t>JS</t>
    <phoneticPr fontId="3" type="noConversion"/>
  </si>
  <si>
    <t>HN</t>
    <phoneticPr fontId="3" type="noConversion"/>
  </si>
  <si>
    <t>SC</t>
    <phoneticPr fontId="3" type="noConversion"/>
  </si>
  <si>
    <t>Q2理赔平均值</t>
  </si>
  <si>
    <t>IRR指标得分-扣分项</t>
    <phoneticPr fontId="3" type="noConversion"/>
  </si>
  <si>
    <t>OR04-分公司销售、承保、保全</t>
    <phoneticPr fontId="3" type="noConversion"/>
  </si>
  <si>
    <t>行业水平指标</t>
    <phoneticPr fontId="3" type="noConversion"/>
  </si>
  <si>
    <t>评估时点之前12个月发现私印宣传、培训材料事件的次数</t>
    <phoneticPr fontId="12" type="noConversion"/>
  </si>
  <si>
    <t>评估时点之前12个月发现产品说明会销售误导事件的次数</t>
    <phoneticPr fontId="12" type="noConversion"/>
  </si>
  <si>
    <t>评估时点之前12个月发现组织参与非法集资事件的次数</t>
    <phoneticPr fontId="12" type="noConversion"/>
  </si>
  <si>
    <t>评估时点之前12个月发现组织参与非法集资事件的次数</t>
    <phoneticPr fontId="3" type="noConversion"/>
  </si>
  <si>
    <t>评估时点之前12个月发现通过盗用、伪造印鉴和保单进行诈骗的次数</t>
    <phoneticPr fontId="12" type="noConversion"/>
  </si>
  <si>
    <t>评估时点之前12个月发现侵占、挪用保费事件的次数</t>
    <phoneticPr fontId="12" type="noConversion"/>
  </si>
  <si>
    <t>评估时点之前12个月发现侵占、挪用保费事件的次数</t>
    <phoneticPr fontId="3" type="noConversion"/>
  </si>
  <si>
    <t>注：橘色填充为手动填写指标，其余指标为自动生成。</t>
    <phoneticPr fontId="3" type="noConversion"/>
  </si>
  <si>
    <t>OR10-资金运用</t>
    <phoneticPr fontId="3" type="noConversion"/>
  </si>
  <si>
    <t>最近4个季度估值核算操作风险事件次数</t>
    <phoneticPr fontId="3" type="noConversion"/>
  </si>
  <si>
    <t>最近4个季度内未发生估值核算操作风险事件的，得5分；最近4个季度内发生1次以上、3次以内估值核算操作风险事件的，得3分；最近4个季度内发生的估值核算操作风险事件次数超过3次的，得0分。</t>
    <phoneticPr fontId="3" type="noConversion"/>
  </si>
  <si>
    <t>估值与核算操作风险事件包括估值核算过程中错误计价、估值差错、模型或系统误操作、错误调整金融资产会计分类等风险事件，具体事件分类不重复计算。</t>
    <phoneticPr fontId="3" type="noConversion"/>
  </si>
  <si>
    <t>指标</t>
    <phoneticPr fontId="3" type="noConversion"/>
  </si>
  <si>
    <t>会计运营部</t>
    <phoneticPr fontId="3" type="noConversion"/>
  </si>
  <si>
    <t>精算部</t>
    <phoneticPr fontId="3" type="noConversion"/>
  </si>
  <si>
    <t>保险公司自行投资的，业绩考核</t>
  </si>
  <si>
    <t>保险公司委托投资的，业绩考核</t>
  </si>
  <si>
    <t>表格</t>
    <phoneticPr fontId="3" type="noConversion"/>
  </si>
  <si>
    <t>权重分配</t>
    <phoneticPr fontId="3" type="noConversion"/>
  </si>
  <si>
    <t>精算部</t>
    <phoneticPr fontId="3" type="noConversion"/>
  </si>
  <si>
    <t>OR15-准备金再保险</t>
    <phoneticPr fontId="3" type="noConversion"/>
  </si>
  <si>
    <t>投资部</t>
    <phoneticPr fontId="3" type="noConversion"/>
  </si>
  <si>
    <t>财务管理部</t>
    <phoneticPr fontId="3" type="noConversion"/>
  </si>
  <si>
    <t>IT</t>
    <phoneticPr fontId="3" type="noConversion"/>
  </si>
  <si>
    <t>OR04-分公司销售、承保、保全</t>
    <phoneticPr fontId="3" type="noConversion"/>
  </si>
  <si>
    <t>公司自查发现账号管理安全事件的次数</t>
    <phoneticPr fontId="3" type="noConversion"/>
  </si>
  <si>
    <t>OR02-总公司销售、承保</t>
    <phoneticPr fontId="3" type="noConversion"/>
  </si>
  <si>
    <t>OR13-分公司财务管理</t>
    <phoneticPr fontId="3" type="noConversion"/>
  </si>
  <si>
    <t>省级分公司财会部门负责人从业经验</t>
  </si>
  <si>
    <t>会计证持证率</t>
  </si>
  <si>
    <t>非寿险业务非正常应收保费比例</t>
  </si>
  <si>
    <t>最近4个季度公司自查发现资金业务操作风险事件次数</t>
  </si>
  <si>
    <t>最近4个季度公司自查发现费用管理操作风险事件次数</t>
  </si>
  <si>
    <t>最近4个季度公司自查发现单证印章管理操作风险事件次数</t>
  </si>
  <si>
    <t>重大操作风险事件调整（扣分项）</t>
  </si>
  <si>
    <t>亿元保费财务操作风险事件数</t>
  </si>
  <si>
    <t>出现错报、漏报、未按时报送等差错的次数</t>
    <phoneticPr fontId="3" type="noConversion"/>
  </si>
  <si>
    <t>OR12-总公司财务管理</t>
    <phoneticPr fontId="3" type="noConversion"/>
  </si>
  <si>
    <t>财务处理是否由集团共享中心集中操作或者外包给集团内其他公司</t>
    <phoneticPr fontId="12" type="noConversion"/>
  </si>
  <si>
    <t xml:space="preserve">符合专业性要求的得6分，否则得0分；
保险公司有多个部门负责财会工作的，所有的部门主要负责人符合专业性要求得6分，否则得0分。
</t>
    <phoneticPr fontId="12" type="noConversion"/>
  </si>
  <si>
    <t>加权得分</t>
    <phoneticPr fontId="3" type="noConversion"/>
  </si>
  <si>
    <t>改动B2标题即可</t>
    <phoneticPr fontId="12" type="noConversion"/>
  </si>
  <si>
    <t>在此列前插入最新列</t>
    <phoneticPr fontId="3" type="noConversion"/>
  </si>
  <si>
    <t>客服</t>
  </si>
  <si>
    <t>续期</t>
  </si>
  <si>
    <t>个险</t>
  </si>
  <si>
    <t>团险</t>
  </si>
  <si>
    <t>银保</t>
  </si>
  <si>
    <t>多元</t>
  </si>
  <si>
    <t>OR04-分公司销售、承保、保全</t>
    <phoneticPr fontId="3" type="noConversion"/>
  </si>
  <si>
    <t>部门负责人具有5年以上保险相关从业经验的占比</t>
    <phoneticPr fontId="3" type="noConversion"/>
  </si>
  <si>
    <t>千张保单投诉量</t>
  </si>
  <si>
    <t>承保标的风险评估情况</t>
  </si>
  <si>
    <t>新契约回访完成率</t>
    <phoneticPr fontId="3" type="noConversion"/>
  </si>
  <si>
    <t>最近4个季度公司自查发现承保管理操作风险事件次数</t>
  </si>
  <si>
    <t>最近4个季度公司自查发现保全管理操作风险事件的次数</t>
  </si>
  <si>
    <t>亿元保费销售、承保、保全操作风险事件数</t>
    <phoneticPr fontId="3" type="noConversion"/>
  </si>
  <si>
    <t>重大操作风险事件的次数调整（扣分项）</t>
    <phoneticPr fontId="3" type="noConversion"/>
  </si>
  <si>
    <t>最近4个季度公司自查发现存在销售人员管理操作风险事件的次数</t>
  </si>
  <si>
    <t>最近4个季度公司自查发现展业操作风险事件次数</t>
    <phoneticPr fontId="3" type="noConversion"/>
  </si>
  <si>
    <t>保单失效率</t>
    <phoneticPr fontId="3" type="noConversion"/>
  </si>
  <si>
    <t>佣金系统计提情况</t>
    <phoneticPr fontId="3" type="noConversion"/>
  </si>
  <si>
    <t>中介协议签订率</t>
    <phoneticPr fontId="3" type="noConversion"/>
  </si>
  <si>
    <t>OR06-总公司理赔、保全</t>
    <phoneticPr fontId="3" type="noConversion"/>
  </si>
  <si>
    <t>具有3年以上理赔工作经验的人员占比</t>
  </si>
  <si>
    <t>从事保全工作时间5年以上的人员和从事保全工作时间1年以下的人员合计占全部保全工作人员比例</t>
  </si>
  <si>
    <t>索赔核定平均时长</t>
  </si>
  <si>
    <t>赔款支付平均时长</t>
  </si>
  <si>
    <t>保全处理平均时长</t>
  </si>
  <si>
    <t>投诉处理平均时长</t>
  </si>
  <si>
    <t>理赔、保全业务引发的群体性事件</t>
  </si>
  <si>
    <t>评估期内公司对销售人员实施内部责任追究的人次</t>
    <phoneticPr fontId="3" type="noConversion"/>
  </si>
  <si>
    <t>客户信息真实性比例</t>
  </si>
  <si>
    <t>评估时点之前12个月发现私印宣传、培训材料事件的次数</t>
    <phoneticPr fontId="3" type="noConversion"/>
  </si>
  <si>
    <t>OR02-总公司销售、承保</t>
    <phoneticPr fontId="3" type="noConversion"/>
  </si>
  <si>
    <t>核保人员工作年限</t>
  </si>
  <si>
    <t>理赔服务时效</t>
  </si>
  <si>
    <t>最近4个季度公司自查发现理赔管理操作风险事件的次数</t>
  </si>
  <si>
    <t>最近4个季度公司发生业内欺诈案件的次数</t>
  </si>
  <si>
    <t>亿元保费理赔操作风险事件数</t>
    <phoneticPr fontId="3" type="noConversion"/>
  </si>
  <si>
    <t>OR08-分公司理赔</t>
    <phoneticPr fontId="3" type="noConversion"/>
  </si>
  <si>
    <t>非现金收款比率</t>
    <phoneticPr fontId="3" type="noConversion"/>
  </si>
  <si>
    <t>最近4个季度公司自查发现费用管理操作风险事件次数</t>
    <phoneticPr fontId="3" type="noConversion"/>
  </si>
  <si>
    <t>空白单证缺失率</t>
    <phoneticPr fontId="3" type="noConversion"/>
  </si>
  <si>
    <t>亿元保费财务操作风险事件数</t>
    <phoneticPr fontId="3" type="noConversion"/>
  </si>
  <si>
    <t>OR13-分公司财务管理</t>
    <phoneticPr fontId="3" type="noConversion"/>
  </si>
  <si>
    <t>空白单证缺失率</t>
    <phoneticPr fontId="3" type="noConversion"/>
  </si>
  <si>
    <t>电话回访成功率</t>
    <phoneticPr fontId="3" type="noConversion"/>
  </si>
  <si>
    <t>评估时点之前12个月违规销售非保险金融产品事件的次数</t>
    <phoneticPr fontId="3" type="noConversion"/>
  </si>
  <si>
    <t xml:space="preserve">KRI指标 </t>
    <phoneticPr fontId="3" type="noConversion"/>
  </si>
  <si>
    <t>客服建议</t>
    <phoneticPr fontId="3" type="noConversion"/>
  </si>
  <si>
    <t>亿元保费理赔操作风险事件数=（理赔管理操作风险事件数+反欺诈操作风险事件数）/（评估期内原保费收入+评估期内保户投资款本年新增交费+评估期内投连险独立账户本年新增交费）（亿元）</t>
    <phoneticPr fontId="3" type="noConversion"/>
  </si>
  <si>
    <t>个险</t>
    <phoneticPr fontId="3" type="noConversion"/>
  </si>
  <si>
    <t>团险</t>
    <phoneticPr fontId="3" type="noConversion"/>
  </si>
  <si>
    <t>2018: &gt;95% 绿</t>
    <phoneticPr fontId="3" type="noConversion"/>
  </si>
  <si>
    <t>备注</t>
    <phoneticPr fontId="3" type="noConversion"/>
  </si>
  <si>
    <t>行业水平</t>
    <phoneticPr fontId="3" type="noConversion"/>
  </si>
  <si>
    <t>非主动指标不扣分</t>
    <phoneticPr fontId="3" type="noConversion"/>
  </si>
  <si>
    <t>IRR指标</t>
    <phoneticPr fontId="3" type="noConversion"/>
  </si>
  <si>
    <t>犹豫期内电话回访成功率</t>
    <phoneticPr fontId="3" type="noConversion"/>
  </si>
  <si>
    <t>续期收费率≥90%,得3分；80%≤续期收费率&lt;90%,得1.5分;续期收费率&lt;80%,得0分。</t>
    <phoneticPr fontId="3" type="noConversion"/>
  </si>
  <si>
    <t>渠道</t>
    <phoneticPr fontId="3" type="noConversion"/>
  </si>
  <si>
    <t>分公司</t>
    <phoneticPr fontId="3" type="noConversion"/>
  </si>
  <si>
    <t>离职率</t>
    <phoneticPr fontId="12" type="noConversion"/>
  </si>
  <si>
    <t>得分</t>
    <phoneticPr fontId="12" type="noConversion"/>
  </si>
  <si>
    <t>客服</t>
    <phoneticPr fontId="12" type="noConversion"/>
  </si>
  <si>
    <t>北京</t>
    <phoneticPr fontId="12" type="noConversion"/>
  </si>
  <si>
    <t>个险</t>
    <phoneticPr fontId="12" type="noConversion"/>
  </si>
  <si>
    <t>团险</t>
    <phoneticPr fontId="12" type="noConversion"/>
  </si>
  <si>
    <t>银保</t>
    <phoneticPr fontId="12" type="noConversion"/>
  </si>
  <si>
    <t>多元</t>
    <phoneticPr fontId="12" type="noConversion"/>
  </si>
  <si>
    <t>续期</t>
    <phoneticPr fontId="12" type="noConversion"/>
  </si>
  <si>
    <t>天津</t>
    <phoneticPr fontId="12" type="noConversion"/>
  </si>
  <si>
    <t>个险</t>
    <phoneticPr fontId="12" type="noConversion"/>
  </si>
  <si>
    <t>团险</t>
    <phoneticPr fontId="12" type="noConversion"/>
  </si>
  <si>
    <t>银保</t>
    <phoneticPr fontId="12" type="noConversion"/>
  </si>
  <si>
    <t>多元</t>
    <phoneticPr fontId="12" type="noConversion"/>
  </si>
  <si>
    <t>续期</t>
    <phoneticPr fontId="12" type="noConversion"/>
  </si>
  <si>
    <t>辽宁</t>
    <phoneticPr fontId="12" type="noConversion"/>
  </si>
  <si>
    <t>客服</t>
    <phoneticPr fontId="12" type="noConversion"/>
  </si>
  <si>
    <t>大连</t>
    <phoneticPr fontId="12" type="noConversion"/>
  </si>
  <si>
    <t>江苏</t>
    <phoneticPr fontId="12" type="noConversion"/>
  </si>
  <si>
    <t>山东</t>
    <phoneticPr fontId="12" type="noConversion"/>
  </si>
  <si>
    <t>青岛</t>
    <phoneticPr fontId="12" type="noConversion"/>
  </si>
  <si>
    <t>河南</t>
    <phoneticPr fontId="12" type="noConversion"/>
  </si>
  <si>
    <t>广东</t>
    <phoneticPr fontId="3" type="noConversion"/>
  </si>
  <si>
    <t>四川</t>
    <phoneticPr fontId="12" type="noConversion"/>
  </si>
  <si>
    <t>渠道</t>
    <phoneticPr fontId="3" type="noConversion"/>
  </si>
  <si>
    <t>分公司</t>
    <phoneticPr fontId="3" type="noConversion"/>
  </si>
  <si>
    <t>评估期内通过电话回访方式在犹豫期内完成新契约回访的保单件数</t>
    <phoneticPr fontId="3" type="noConversion"/>
  </si>
  <si>
    <t>犹豫期内电话回访成功率</t>
    <phoneticPr fontId="3" type="noConversion"/>
  </si>
  <si>
    <t>得分</t>
    <phoneticPr fontId="12" type="noConversion"/>
  </si>
  <si>
    <t>个险</t>
    <phoneticPr fontId="12" type="noConversion"/>
  </si>
  <si>
    <t>北京</t>
    <phoneticPr fontId="12" type="noConversion"/>
  </si>
  <si>
    <t>团险</t>
    <phoneticPr fontId="12" type="noConversion"/>
  </si>
  <si>
    <t>银保</t>
    <phoneticPr fontId="12" type="noConversion"/>
  </si>
  <si>
    <t>多元</t>
    <phoneticPr fontId="12" type="noConversion"/>
  </si>
  <si>
    <t>续期</t>
    <phoneticPr fontId="12" type="noConversion"/>
  </si>
  <si>
    <t>天津</t>
    <phoneticPr fontId="12" type="noConversion"/>
  </si>
  <si>
    <t>辽宁</t>
    <phoneticPr fontId="12" type="noConversion"/>
  </si>
  <si>
    <t>大连</t>
    <phoneticPr fontId="12" type="noConversion"/>
  </si>
  <si>
    <t>江苏</t>
    <phoneticPr fontId="12" type="noConversion"/>
  </si>
  <si>
    <t>山东</t>
    <phoneticPr fontId="12" type="noConversion"/>
  </si>
  <si>
    <t>青岛</t>
    <phoneticPr fontId="12" type="noConversion"/>
  </si>
  <si>
    <t>河南</t>
    <phoneticPr fontId="12" type="noConversion"/>
  </si>
  <si>
    <t>广东</t>
    <phoneticPr fontId="3" type="noConversion"/>
  </si>
  <si>
    <t>四川</t>
    <phoneticPr fontId="12" type="noConversion"/>
  </si>
  <si>
    <t>评估期内承保的保单中完成回访的保单件数</t>
    <phoneticPr fontId="3" type="noConversion"/>
  </si>
  <si>
    <t>新契约回访完成率</t>
    <phoneticPr fontId="3" type="noConversion"/>
  </si>
  <si>
    <t>得分</t>
    <phoneticPr fontId="3" type="noConversion"/>
  </si>
  <si>
    <t>平均值项:得分</t>
  </si>
  <si>
    <t>平均值项:新契约回访完成率</t>
  </si>
  <si>
    <t>平均值项:离职率</t>
  </si>
  <si>
    <t>行标签</t>
  </si>
  <si>
    <t>平均值项:犹豫期内电话回访成功率</t>
  </si>
  <si>
    <t>业务渠道</t>
    <phoneticPr fontId="12" type="noConversion"/>
  </si>
  <si>
    <t>实收保费</t>
    <phoneticPr fontId="12" type="noConversion"/>
  </si>
  <si>
    <t>应收保费</t>
    <phoneticPr fontId="12" type="noConversion"/>
  </si>
  <si>
    <t>保费继续率</t>
    <phoneticPr fontId="12" type="noConversion"/>
  </si>
  <si>
    <r>
      <rPr>
        <b/>
        <sz val="10"/>
        <rFont val="宋体"/>
        <family val="3"/>
        <charset val="134"/>
      </rPr>
      <t>得分</t>
    </r>
    <phoneticPr fontId="3" type="noConversion"/>
  </si>
  <si>
    <t>收展</t>
  </si>
  <si>
    <t>小计</t>
  </si>
  <si>
    <t>值</t>
  </si>
  <si>
    <t>平均值项:保费继续率</t>
  </si>
  <si>
    <t>更新员工流失率</t>
    <phoneticPr fontId="3" type="noConversion"/>
  </si>
  <si>
    <t>更新犹豫期内电话回访成功率</t>
    <phoneticPr fontId="3" type="noConversion"/>
  </si>
  <si>
    <t>更新新契约回访完成率</t>
    <phoneticPr fontId="3" type="noConversion"/>
  </si>
  <si>
    <t>更新续期收费率</t>
    <phoneticPr fontId="3" type="noConversion"/>
  </si>
  <si>
    <t>非主动指标</t>
    <phoneticPr fontId="3" type="noConversion"/>
  </si>
  <si>
    <t>更新退撤保率</t>
    <phoneticPr fontId="3" type="noConversion"/>
  </si>
  <si>
    <t xml:space="preserve">1.将客服反馈的分公司数据，粘贴复制（勾选转置）粘贴进表格中   </t>
    <phoneticPr fontId="3" type="noConversion"/>
  </si>
  <si>
    <t xml:space="preserve">2.删除无效值 </t>
  </si>
  <si>
    <t>3.刷洗数据透视表</t>
    <phoneticPr fontId="3" type="noConversion"/>
  </si>
  <si>
    <t xml:space="preserve">1.将HR反馈的分公司数据，粘贴复制（勾选转置）粘贴进表格中   </t>
    <phoneticPr fontId="3" type="noConversion"/>
  </si>
  <si>
    <t xml:space="preserve">2.删除无效值 </t>
    <phoneticPr fontId="3" type="noConversion"/>
  </si>
  <si>
    <t xml:space="preserve">1.将续期反馈的分公司数据，粘贴复制（勾选转置）粘贴进表格中   </t>
    <phoneticPr fontId="3" type="noConversion"/>
  </si>
  <si>
    <t>撤保</t>
    <phoneticPr fontId="3" type="noConversion"/>
  </si>
  <si>
    <t>退保</t>
    <phoneticPr fontId="3" type="noConversion"/>
  </si>
  <si>
    <t>实收</t>
    <phoneticPr fontId="3" type="noConversion"/>
  </si>
  <si>
    <t>预收</t>
    <phoneticPr fontId="3" type="noConversion"/>
  </si>
  <si>
    <t>退撤保率</t>
    <phoneticPr fontId="3" type="noConversion"/>
  </si>
  <si>
    <t>分数</t>
    <phoneticPr fontId="3" type="noConversion"/>
  </si>
  <si>
    <t>OR02-总公司销售、承保、保全</t>
    <phoneticPr fontId="3" type="noConversion"/>
  </si>
  <si>
    <t>总公司绩效-I</t>
    <phoneticPr fontId="3" type="noConversion"/>
  </si>
  <si>
    <t>总公司绩效-II</t>
    <phoneticPr fontId="3" type="noConversion"/>
  </si>
  <si>
    <t>犹豫期内电话回访成功率</t>
    <phoneticPr fontId="3" type="noConversion"/>
  </si>
  <si>
    <t>员工流失率</t>
    <phoneticPr fontId="3" type="noConversion"/>
  </si>
  <si>
    <t>OR10-资金运用</t>
    <phoneticPr fontId="3" type="noConversion"/>
  </si>
  <si>
    <t>OR12-财务管理</t>
    <phoneticPr fontId="3" type="noConversion"/>
  </si>
  <si>
    <t>OR15-准备金再保险</t>
    <phoneticPr fontId="3" type="noConversion"/>
  </si>
  <si>
    <t>OR18-合规风险</t>
    <phoneticPr fontId="3" type="noConversion"/>
  </si>
  <si>
    <t>RR01-声誉风险</t>
    <phoneticPr fontId="3" type="noConversion"/>
  </si>
  <si>
    <t>信息系统</t>
    <phoneticPr fontId="3" type="noConversion"/>
  </si>
  <si>
    <t>案件管理</t>
    <phoneticPr fontId="3" type="noConversion"/>
  </si>
  <si>
    <t>流动性风险</t>
    <phoneticPr fontId="3" type="noConversion"/>
  </si>
  <si>
    <t>公司治理</t>
    <phoneticPr fontId="3" type="noConversion"/>
  </si>
  <si>
    <t>战略风险</t>
    <phoneticPr fontId="3" type="noConversion"/>
  </si>
  <si>
    <t>分支机构页</t>
    <phoneticPr fontId="3" type="noConversion"/>
  </si>
  <si>
    <t>绩效总分</t>
    <phoneticPr fontId="3" type="noConversion"/>
  </si>
  <si>
    <t>分公司绩效</t>
    <phoneticPr fontId="3" type="noConversion"/>
  </si>
  <si>
    <t>退撤保率</t>
    <phoneticPr fontId="3" type="noConversion"/>
  </si>
  <si>
    <t>续期收费率</t>
    <phoneticPr fontId="3" type="noConversion"/>
  </si>
  <si>
    <t>新契约回访完成率</t>
    <phoneticPr fontId="3" type="noConversion"/>
  </si>
  <si>
    <t>总公司</t>
    <phoneticPr fontId="3" type="noConversion"/>
  </si>
  <si>
    <t>分公司</t>
    <phoneticPr fontId="3" type="noConversion"/>
  </si>
  <si>
    <t>1.OR04-员工流失率&amp;代理制留存率</t>
    <phoneticPr fontId="3" type="noConversion"/>
  </si>
  <si>
    <t>2.OR04-展业操作风险&amp;亿元保费销售、承保、保全操作风险事件数</t>
    <phoneticPr fontId="3" type="noConversion"/>
  </si>
  <si>
    <t>3.OR04-新契约回访完成率</t>
    <phoneticPr fontId="3" type="noConversion"/>
  </si>
  <si>
    <t>4.OR13-亿元保费财务操作风险事件数</t>
    <phoneticPr fontId="3" type="noConversion"/>
  </si>
  <si>
    <t>5.OR02-私印宣传、培训材料事件的次数</t>
    <phoneticPr fontId="3" type="noConversion"/>
  </si>
  <si>
    <t>普遍扣分</t>
    <phoneticPr fontId="3" type="noConversion"/>
  </si>
  <si>
    <t>个性扣分</t>
    <phoneticPr fontId="3" type="noConversion"/>
  </si>
  <si>
    <t>因富有与指标相关的管理职责扣分</t>
    <phoneticPr fontId="3" type="noConversion"/>
  </si>
  <si>
    <t>具有三年以上寿险准备金评估工作经验的人员占比</t>
    <phoneticPr fontId="3" type="noConversion"/>
  </si>
  <si>
    <t>13.OR13-资金操作风险-财务</t>
    <phoneticPr fontId="3" type="noConversion"/>
  </si>
  <si>
    <t>16.OR13-亿元财务操作风险-财务，会计</t>
    <phoneticPr fontId="3" type="noConversion"/>
  </si>
  <si>
    <t>6.OR04-亿元保费销售、承保、保全操作风险事件数-个险</t>
    <phoneticPr fontId="3" type="noConversion"/>
  </si>
  <si>
    <t>8.OR13-财会部门人员流失率-财务，会计</t>
    <phoneticPr fontId="3" type="noConversion"/>
  </si>
  <si>
    <t>9.OR13-银行账户管理，非寿险业务费正常应收保费比例-团险</t>
    <phoneticPr fontId="3" type="noConversion"/>
  </si>
  <si>
    <t>10.OR13-银行账户-财务</t>
    <phoneticPr fontId="3" type="noConversion"/>
  </si>
  <si>
    <t>11.OR13-非寿险业务非正常应收保费比例-会计</t>
    <phoneticPr fontId="3" type="noConversion"/>
  </si>
  <si>
    <t>12.OR13-空白单证缺失率-财务</t>
    <phoneticPr fontId="3" type="noConversion"/>
  </si>
  <si>
    <t>14.OR13-费用，亿元保费财务操作风险-个险，银保</t>
    <phoneticPr fontId="3" type="noConversion"/>
  </si>
  <si>
    <t>15.OR13-费用操作风险-会计</t>
    <phoneticPr fontId="3" type="noConversion"/>
  </si>
  <si>
    <t>5.信息系统-IT</t>
    <phoneticPr fontId="3" type="noConversion"/>
  </si>
  <si>
    <t>2.OR10-三年以上寿险准备金评估工作经验的人员占比-精算</t>
    <phoneticPr fontId="3" type="noConversion"/>
  </si>
  <si>
    <t>3.OR12-资金操作风险-财务，会计</t>
    <phoneticPr fontId="3" type="noConversion"/>
  </si>
  <si>
    <t>4.OR12-风险操作事项-财务，会计</t>
    <phoneticPr fontId="3" type="noConversion"/>
  </si>
  <si>
    <t>1.OR02-销售人员离职率&amp;员工流失率-各渠道，客服</t>
    <phoneticPr fontId="3" type="noConversion"/>
  </si>
  <si>
    <t>3.OR02-问责-个险</t>
    <phoneticPr fontId="3" type="noConversion"/>
  </si>
  <si>
    <t>4.OR02-私印宣传&amp;销售非保险-个险</t>
    <phoneticPr fontId="3" type="noConversion"/>
  </si>
  <si>
    <t>5.0R04-代理制留存率-个险</t>
    <phoneticPr fontId="3" type="noConversion"/>
  </si>
  <si>
    <t>1.OR06-理赔人员，保全人员经验-客服</t>
    <phoneticPr fontId="3" type="noConversion"/>
  </si>
  <si>
    <t>7.OR08-理赔部门人员流失率-客服</t>
    <phoneticPr fontId="3" type="noConversion"/>
  </si>
  <si>
    <t>2.OR02-销售人员学历-个险，团险，银保，续期</t>
    <phoneticPr fontId="3" type="noConversion"/>
  </si>
  <si>
    <t>4.OR02-客户信息真实性比例-个险，银保，多元，续期</t>
    <phoneticPr fontId="3" type="noConversion"/>
  </si>
  <si>
    <t>1.OR04-销售人员操作风险-山东</t>
    <phoneticPr fontId="3" type="noConversion"/>
  </si>
  <si>
    <t>2.OR04-反洗钱监管函-辽宁</t>
    <phoneticPr fontId="3" type="noConversion"/>
  </si>
  <si>
    <t>3.OR04-续期收费率-广东</t>
    <phoneticPr fontId="3" type="noConversion"/>
  </si>
  <si>
    <t>4.OR04-退撤保率-大连青岛广东，</t>
    <phoneticPr fontId="3" type="noConversion"/>
  </si>
  <si>
    <t>5.OR08-理赔部门人员流失-广东</t>
    <phoneticPr fontId="3" type="noConversion"/>
  </si>
  <si>
    <t>6.OR08-理赔服务时效-天津辽宁青岛四川</t>
    <phoneticPr fontId="3" type="noConversion"/>
  </si>
  <si>
    <t>7.OR13-财会部门人员流失-天津青岛</t>
    <phoneticPr fontId="3" type="noConversion"/>
  </si>
  <si>
    <t>8.OR13-会计持证-辽宁</t>
    <phoneticPr fontId="3" type="noConversion"/>
  </si>
  <si>
    <t>9.OR13-银行账户-江苏</t>
    <phoneticPr fontId="3" type="noConversion"/>
  </si>
  <si>
    <t>10.OR13-非寿险业务非正常应收保费比例-北京</t>
    <phoneticPr fontId="3" type="noConversion"/>
  </si>
  <si>
    <t>11.OR13-资金业务操作风险事件-天津</t>
    <phoneticPr fontId="3" type="noConversion"/>
  </si>
  <si>
    <t>12.OR13-空白单证缺失率-北京天津大连</t>
    <phoneticPr fontId="3" type="noConversion"/>
  </si>
  <si>
    <t>13.OR13-费用操作风险事件-山东河南广东四川</t>
    <phoneticPr fontId="3" type="noConversion"/>
  </si>
  <si>
    <t>14.OR02-问责-辽宁广东</t>
    <phoneticPr fontId="3" type="noConversion"/>
  </si>
  <si>
    <t>15.OR02-销售非保险金融产品事件-山东</t>
    <phoneticPr fontId="3" type="noConversion"/>
  </si>
  <si>
    <t>总公司绩效-II</t>
    <phoneticPr fontId="3" type="noConversion"/>
  </si>
  <si>
    <t>目录</t>
    <phoneticPr fontId="3" type="noConversion"/>
  </si>
  <si>
    <t>分公司绩效</t>
    <phoneticPr fontId="3" type="noConversion"/>
  </si>
  <si>
    <t>总公司绩效-I</t>
    <phoneticPr fontId="3" type="noConversion"/>
  </si>
  <si>
    <t>绩效总分</t>
    <phoneticPr fontId="3" type="noConversion"/>
  </si>
  <si>
    <t>总公司绩效-II</t>
    <phoneticPr fontId="3" type="noConversion"/>
  </si>
  <si>
    <t>目录</t>
    <phoneticPr fontId="3" type="noConversion"/>
  </si>
  <si>
    <t>OR04</t>
    <phoneticPr fontId="3" type="noConversion"/>
  </si>
  <si>
    <t>总公司绩效-II</t>
    <phoneticPr fontId="3" type="noConversion"/>
  </si>
  <si>
    <t>评估期期末前13个月已入职且评估期在职代理制销售人员数</t>
    <phoneticPr fontId="3" type="noConversion"/>
  </si>
  <si>
    <t>评估期前13个月已入职代理制销售人员数</t>
    <phoneticPr fontId="3" type="noConversion"/>
  </si>
  <si>
    <r>
      <t>2018</t>
    </r>
    <r>
      <rPr>
        <sz val="10"/>
        <color theme="1"/>
        <rFont val="宋体"/>
        <family val="3"/>
        <charset val="134"/>
      </rPr>
      <t>年第二季度</t>
    </r>
    <phoneticPr fontId="3" type="noConversion"/>
  </si>
  <si>
    <t xml:space="preserve"> </t>
    <phoneticPr fontId="3" type="noConversion"/>
  </si>
</sst>
</file>

<file path=xl/styles.xml><?xml version="1.0" encoding="utf-8"?>
<styleSheet xmlns="http://schemas.openxmlformats.org/spreadsheetml/2006/main">
  <numFmts count="28">
    <numFmt numFmtId="41" formatCode="_ * #,##0_ ;_ * \-#,##0_ ;_ * &quot;-&quot;_ ;_ @_ "/>
    <numFmt numFmtId="43" formatCode="_ * #,##0.00_ ;_ * \-#,##0.00_ ;_ * &quot;-&quot;??_ ;_ @_ "/>
    <numFmt numFmtId="176" formatCode="_ * #,##0_ ;_ * \-#,##0_ ;_ * &quot;-&quot;??_ ;_ @_ "/>
    <numFmt numFmtId="177" formatCode="0.00_);[Red]\(0.00\)"/>
    <numFmt numFmtId="178" formatCode="0.000%"/>
    <numFmt numFmtId="179" formatCode="0_);[Red]\(0\)"/>
    <numFmt numFmtId="180" formatCode="#,##0.00_ "/>
    <numFmt numFmtId="181" formatCode="0.0_);[Red]\(0.0\)"/>
    <numFmt numFmtId="182" formatCode="0.00_ "/>
    <numFmt numFmtId="183" formatCode="_ * #,##0.000000_ ;_ * \-#,##0.000000_ ;_ * &quot;-&quot;??????_ ;_ @_ "/>
    <numFmt numFmtId="184" formatCode="#,##0.0000"/>
    <numFmt numFmtId="185" formatCode="0.0_ "/>
    <numFmt numFmtId="186" formatCode="_ * #,##0.0_ ;_ * \-#,##0.0_ ;_ * &quot;-&quot;??_ ;_ @_ "/>
    <numFmt numFmtId="187" formatCode="#,##0.0"/>
    <numFmt numFmtId="188" formatCode="0.0%"/>
    <numFmt numFmtId="189" formatCode="0_ "/>
    <numFmt numFmtId="190" formatCode="#,##0.0_ "/>
    <numFmt numFmtId="191" formatCode="0.00;__x0000_"/>
    <numFmt numFmtId="192" formatCode="_ * #,##0.00000_ ;_ * \-#,##0.00000_ ;_ * &quot;-&quot;?????_ ;_ @_ "/>
    <numFmt numFmtId="193" formatCode="[$-F800]dddd\,\ mmmm\ dd\,\ yyyy"/>
    <numFmt numFmtId="194" formatCode="_(* #,##0.00_);_(* \(#,##0.00\);_(* &quot;-&quot;??_);_(@_)"/>
    <numFmt numFmtId="195" formatCode="0.0000_);[Red]\(0.0000\)"/>
    <numFmt numFmtId="196" formatCode="#,##0.0000_);\(#,##0.0000\)"/>
    <numFmt numFmtId="197" formatCode="0.0000_ "/>
    <numFmt numFmtId="198" formatCode="0.00000_ "/>
    <numFmt numFmtId="199" formatCode="0.0000%"/>
    <numFmt numFmtId="200" formatCode="_ * #,##0.0000_ ;_ * \-#,##0.0000_ ;_ * &quot;-&quot;??_ ;_ @_ "/>
    <numFmt numFmtId="201" formatCode="_ * #,##0.0_ ;_ * \-#,##0.0_ ;_ * &quot;-&quot;?_ ;_ @_ "/>
  </numFmts>
  <fonts count="95">
    <font>
      <sz val="11"/>
      <color theme="1"/>
      <name val="宋体"/>
      <family val="2"/>
      <charset val="134"/>
      <scheme val="minor"/>
    </font>
    <font>
      <sz val="10"/>
      <color theme="1"/>
      <name val="Arial"/>
      <family val="2"/>
      <charset val="134"/>
    </font>
    <font>
      <b/>
      <sz val="11"/>
      <color theme="1"/>
      <name val="微软雅黑"/>
      <family val="2"/>
      <charset val="134"/>
    </font>
    <font>
      <sz val="9"/>
      <name val="宋体"/>
      <family val="2"/>
      <charset val="134"/>
      <scheme val="minor"/>
    </font>
    <font>
      <sz val="9"/>
      <color theme="1"/>
      <name val="微软雅黑"/>
      <family val="2"/>
      <charset val="134"/>
    </font>
    <font>
      <sz val="11"/>
      <color theme="1"/>
      <name val="微软雅黑"/>
      <family val="2"/>
      <charset val="134"/>
    </font>
    <font>
      <b/>
      <sz val="9"/>
      <color theme="1"/>
      <name val="微软雅黑"/>
      <family val="2"/>
      <charset val="134"/>
    </font>
    <font>
      <b/>
      <sz val="11"/>
      <color theme="0"/>
      <name val="微软雅黑"/>
      <family val="2"/>
      <charset val="134"/>
    </font>
    <font>
      <b/>
      <sz val="11"/>
      <name val="微软雅黑"/>
      <family val="2"/>
      <charset val="134"/>
    </font>
    <font>
      <u/>
      <sz val="11"/>
      <color theme="10"/>
      <name val="宋体"/>
      <family val="2"/>
      <charset val="134"/>
      <scheme val="minor"/>
    </font>
    <font>
      <u/>
      <sz val="11"/>
      <color theme="10"/>
      <name val="微软雅黑"/>
      <family val="2"/>
      <charset val="134"/>
    </font>
    <font>
      <b/>
      <sz val="8"/>
      <name val="微软雅黑"/>
      <family val="2"/>
      <charset val="134"/>
    </font>
    <font>
      <sz val="9"/>
      <name val="宋体"/>
      <family val="3"/>
      <charset val="134"/>
    </font>
    <font>
      <sz val="11"/>
      <color theme="1"/>
      <name val="宋体"/>
      <family val="2"/>
      <charset val="134"/>
      <scheme val="minor"/>
    </font>
    <font>
      <sz val="9"/>
      <color indexed="81"/>
      <name val="Tahoma"/>
      <family val="2"/>
    </font>
    <font>
      <sz val="9"/>
      <color indexed="81"/>
      <name val="宋体"/>
      <family val="3"/>
      <charset val="134"/>
    </font>
    <font>
      <sz val="14"/>
      <color theme="1"/>
      <name val="宋体"/>
      <family val="3"/>
      <charset val="134"/>
    </font>
    <font>
      <sz val="14"/>
      <color theme="1"/>
      <name val="Arial"/>
      <family val="2"/>
      <charset val="134"/>
    </font>
    <font>
      <sz val="14"/>
      <color theme="1"/>
      <name val="宋体"/>
      <family val="2"/>
      <charset val="134"/>
      <scheme val="minor"/>
    </font>
    <font>
      <sz val="11"/>
      <color theme="1"/>
      <name val="宋体"/>
      <family val="3"/>
      <charset val="134"/>
      <scheme val="minor"/>
    </font>
    <font>
      <sz val="8"/>
      <color theme="1"/>
      <name val="微软雅黑"/>
      <family val="2"/>
      <charset val="134"/>
    </font>
    <font>
      <b/>
      <sz val="18"/>
      <color theme="1"/>
      <name val="微软雅黑"/>
      <family val="2"/>
      <charset val="134"/>
    </font>
    <font>
      <b/>
      <sz val="8"/>
      <color rgb="FF000000"/>
      <name val="微软雅黑"/>
      <family val="2"/>
      <charset val="134"/>
    </font>
    <font>
      <sz val="9"/>
      <name val="Tahoma"/>
      <family val="2"/>
      <charset val="134"/>
    </font>
    <font>
      <sz val="8"/>
      <color rgb="FF000000"/>
      <name val="微软雅黑"/>
      <family val="2"/>
      <charset val="134"/>
    </font>
    <font>
      <b/>
      <sz val="9"/>
      <name val="微软雅黑"/>
      <family val="2"/>
      <charset val="134"/>
    </font>
    <font>
      <b/>
      <sz val="8"/>
      <color theme="1"/>
      <name val="微软雅黑"/>
      <family val="2"/>
      <charset val="134"/>
    </font>
    <font>
      <sz val="16"/>
      <name val="黑体"/>
      <family val="3"/>
      <charset val="134"/>
    </font>
    <font>
      <sz val="11"/>
      <name val="宋体"/>
      <family val="3"/>
      <charset val="134"/>
      <scheme val="minor"/>
    </font>
    <font>
      <sz val="22"/>
      <name val="长城小标宋体"/>
      <family val="3"/>
      <charset val="134"/>
    </font>
    <font>
      <b/>
      <sz val="12"/>
      <name val="仿宋_GB2312"/>
      <family val="3"/>
      <charset val="134"/>
    </font>
    <font>
      <sz val="11"/>
      <name val="仿宋_GB2312"/>
      <family val="3"/>
      <charset val="134"/>
    </font>
    <font>
      <b/>
      <sz val="11"/>
      <name val="仿宋_GB2312"/>
      <family val="3"/>
      <charset val="134"/>
    </font>
    <font>
      <sz val="10.5"/>
      <name val="仿宋_GB2312"/>
      <family val="3"/>
      <charset val="134"/>
    </font>
    <font>
      <b/>
      <sz val="18"/>
      <name val="微软雅黑"/>
      <family val="2"/>
      <charset val="134"/>
    </font>
    <font>
      <sz val="10"/>
      <name val="宋体"/>
      <family val="2"/>
      <charset val="134"/>
      <scheme val="minor"/>
    </font>
    <font>
      <sz val="8"/>
      <name val="微软雅黑"/>
      <family val="2"/>
      <charset val="134"/>
    </font>
    <font>
      <sz val="11"/>
      <color indexed="8"/>
      <name val="宋体"/>
      <family val="3"/>
      <charset val="134"/>
    </font>
    <font>
      <b/>
      <sz val="9"/>
      <color theme="0" tint="-0.14999847407452621"/>
      <name val="微软雅黑"/>
      <family val="2"/>
      <charset val="134"/>
    </font>
    <font>
      <sz val="9"/>
      <color theme="0" tint="-0.249977111117893"/>
      <name val="微软雅黑"/>
      <family val="2"/>
      <charset val="134"/>
    </font>
    <font>
      <b/>
      <sz val="9"/>
      <color indexed="81"/>
      <name val="宋体"/>
      <family val="3"/>
      <charset val="134"/>
    </font>
    <font>
      <b/>
      <sz val="18"/>
      <color indexed="8"/>
      <name val="微软雅黑"/>
      <family val="2"/>
      <charset val="134"/>
    </font>
    <font>
      <b/>
      <sz val="8"/>
      <color indexed="8"/>
      <name val="微软雅黑"/>
      <family val="2"/>
      <charset val="134"/>
    </font>
    <font>
      <sz val="8"/>
      <color theme="1"/>
      <name val="宋体"/>
      <family val="2"/>
      <charset val="134"/>
      <scheme val="minor"/>
    </font>
    <font>
      <sz val="9"/>
      <color theme="1"/>
      <name val="宋体"/>
      <family val="3"/>
      <charset val="134"/>
      <scheme val="minor"/>
    </font>
    <font>
      <sz val="8"/>
      <color theme="0" tint="-0.34998626667073579"/>
      <name val="微软雅黑"/>
      <family val="2"/>
      <charset val="134"/>
    </font>
    <font>
      <sz val="9"/>
      <name val="微软雅黑"/>
      <family val="2"/>
      <charset val="134"/>
    </font>
    <font>
      <b/>
      <sz val="9"/>
      <color indexed="81"/>
      <name val="Tahoma"/>
      <family val="2"/>
    </font>
    <font>
      <sz val="10"/>
      <color theme="1"/>
      <name val="微软雅黑"/>
      <family val="2"/>
      <charset val="134"/>
    </font>
    <font>
      <sz val="9"/>
      <name val="Tahoma"/>
      <family val="2"/>
    </font>
    <font>
      <sz val="9"/>
      <color rgb="FF000000"/>
      <name val="微软雅黑"/>
      <family val="2"/>
      <charset val="134"/>
    </font>
    <font>
      <sz val="9"/>
      <color theme="0" tint="-0.14999847407452621"/>
      <name val="微软雅黑"/>
      <family val="2"/>
      <charset val="134"/>
    </font>
    <font>
      <sz val="9"/>
      <color rgb="FFFF0000"/>
      <name val="微软雅黑"/>
      <family val="2"/>
      <charset val="134"/>
    </font>
    <font>
      <sz val="9"/>
      <name val="宋体"/>
      <family val="3"/>
      <charset val="134"/>
      <scheme val="minor"/>
    </font>
    <font>
      <sz val="9"/>
      <color theme="1"/>
      <name val="Arial Unicode MS"/>
      <family val="2"/>
      <charset val="134"/>
    </font>
    <font>
      <sz val="9"/>
      <color indexed="8"/>
      <name val="微软雅黑"/>
      <family val="2"/>
      <charset val="134"/>
    </font>
    <font>
      <sz val="10.5"/>
      <color theme="1"/>
      <name val="Calibri"/>
      <family val="2"/>
    </font>
    <font>
      <sz val="10"/>
      <color rgb="FF000000"/>
      <name val="宋体"/>
      <family val="3"/>
      <charset val="134"/>
    </font>
    <font>
      <sz val="10.5"/>
      <color theme="1"/>
      <name val="宋体"/>
      <family val="3"/>
      <charset val="134"/>
    </font>
    <font>
      <sz val="10.5"/>
      <color rgb="FF1F497D"/>
      <name val="Arial Unicode MS"/>
      <family val="2"/>
      <charset val="134"/>
    </font>
    <font>
      <sz val="9"/>
      <color theme="0" tint="-0.34998626667073579"/>
      <name val="微软雅黑"/>
      <family val="2"/>
      <charset val="134"/>
    </font>
    <font>
      <sz val="8"/>
      <color rgb="FFFF0000"/>
      <name val="微软雅黑"/>
      <family val="2"/>
      <charset val="134"/>
    </font>
    <font>
      <sz val="10"/>
      <name val="宋体"/>
      <family val="2"/>
      <charset val="134"/>
    </font>
    <font>
      <sz val="9"/>
      <color theme="3" tint="0.39997558519241921"/>
      <name val="微软雅黑"/>
      <family val="2"/>
      <charset val="134"/>
    </font>
    <font>
      <sz val="11"/>
      <color theme="3" tint="0.39997558519241921"/>
      <name val="微软雅黑"/>
      <family val="2"/>
      <charset val="134"/>
    </font>
    <font>
      <sz val="9"/>
      <color rgb="FF00B050"/>
      <name val="微软雅黑"/>
      <family val="2"/>
      <charset val="134"/>
    </font>
    <font>
      <b/>
      <sz val="9"/>
      <color indexed="81"/>
      <name val="宋体"/>
      <family val="2"/>
      <charset val="134"/>
    </font>
    <font>
      <sz val="11"/>
      <color rgb="FF000000"/>
      <name val="微软雅黑"/>
      <family val="2"/>
      <charset val="134"/>
    </font>
    <font>
      <sz val="11"/>
      <name val="微软雅黑"/>
      <family val="2"/>
      <charset val="134"/>
    </font>
    <font>
      <b/>
      <sz val="11"/>
      <color theme="9"/>
      <name val="微软雅黑"/>
      <family val="2"/>
      <charset val="134"/>
    </font>
    <font>
      <b/>
      <sz val="9"/>
      <color theme="0" tint="-0.34998626667073579"/>
      <name val="微软雅黑"/>
      <family val="2"/>
      <charset val="134"/>
    </font>
    <font>
      <b/>
      <sz val="9"/>
      <color theme="0"/>
      <name val="微软雅黑"/>
      <family val="2"/>
      <charset val="134"/>
    </font>
    <font>
      <b/>
      <sz val="9"/>
      <color theme="9"/>
      <name val="微软雅黑"/>
      <family val="2"/>
      <charset val="134"/>
    </font>
    <font>
      <sz val="9"/>
      <color rgb="FF1F497D"/>
      <name val="Calibri"/>
      <family val="2"/>
    </font>
    <font>
      <b/>
      <sz val="11"/>
      <color rgb="FF00B050"/>
      <name val="微软雅黑"/>
      <family val="2"/>
      <charset val="134"/>
    </font>
    <font>
      <b/>
      <sz val="11"/>
      <color rgb="FFFF0000"/>
      <name val="微软雅黑"/>
      <family val="2"/>
      <charset val="134"/>
    </font>
    <font>
      <b/>
      <sz val="11"/>
      <color theme="1"/>
      <name val="宋体"/>
      <family val="3"/>
      <charset val="134"/>
      <scheme val="minor"/>
    </font>
    <font>
      <b/>
      <sz val="11"/>
      <color rgb="FF00B050"/>
      <name val="宋体"/>
      <family val="3"/>
      <charset val="134"/>
      <scheme val="minor"/>
    </font>
    <font>
      <sz val="10"/>
      <color theme="1"/>
      <name val="宋体"/>
      <family val="3"/>
      <charset val="134"/>
    </font>
    <font>
      <b/>
      <sz val="12"/>
      <color theme="1"/>
      <name val="宋体"/>
      <family val="2"/>
      <charset val="134"/>
      <scheme val="minor"/>
    </font>
    <font>
      <b/>
      <sz val="12"/>
      <color rgb="FF002060"/>
      <name val="宋体"/>
      <family val="2"/>
      <charset val="134"/>
      <scheme val="minor"/>
    </font>
    <font>
      <b/>
      <sz val="12"/>
      <color theme="0" tint="-0.14999847407452621"/>
      <name val="宋体"/>
      <family val="3"/>
      <charset val="134"/>
      <scheme val="minor"/>
    </font>
    <font>
      <b/>
      <sz val="12"/>
      <color rgb="FFFF0000"/>
      <name val="宋体"/>
      <family val="3"/>
      <charset val="134"/>
      <scheme val="minor"/>
    </font>
    <font>
      <b/>
      <sz val="12"/>
      <color rgb="FF00B050"/>
      <name val="宋体"/>
      <family val="3"/>
      <charset val="134"/>
      <scheme val="minor"/>
    </font>
    <font>
      <sz val="12"/>
      <color theme="0"/>
      <name val="宋体"/>
      <family val="2"/>
      <charset val="134"/>
      <scheme val="minor"/>
    </font>
    <font>
      <b/>
      <sz val="11"/>
      <color theme="0"/>
      <name val="宋体"/>
      <family val="3"/>
      <charset val="134"/>
      <scheme val="minor"/>
    </font>
    <font>
      <b/>
      <sz val="10"/>
      <color theme="1"/>
      <name val="微软雅黑"/>
      <family val="2"/>
      <charset val="134"/>
    </font>
    <font>
      <b/>
      <sz val="10"/>
      <color rgb="FFFF0000"/>
      <name val="微软雅黑"/>
      <family val="2"/>
      <charset val="134"/>
    </font>
    <font>
      <b/>
      <sz val="11"/>
      <color theme="9"/>
      <name val="宋体"/>
      <family val="3"/>
      <charset val="134"/>
      <scheme val="minor"/>
    </font>
    <font>
      <b/>
      <sz val="11"/>
      <color theme="9" tint="-0.249977111117893"/>
      <name val="宋体"/>
      <family val="3"/>
      <charset val="134"/>
      <scheme val="minor"/>
    </font>
    <font>
      <b/>
      <sz val="10"/>
      <color rgb="FF000000"/>
      <name val="宋体"/>
      <family val="3"/>
      <charset val="134"/>
    </font>
    <font>
      <sz val="11"/>
      <name val="宋体"/>
      <family val="2"/>
      <charset val="134"/>
      <scheme val="minor"/>
    </font>
    <font>
      <b/>
      <sz val="10"/>
      <name val="Arial"/>
      <family val="2"/>
    </font>
    <font>
      <b/>
      <sz val="10"/>
      <name val="宋体"/>
      <family val="3"/>
      <charset val="134"/>
    </font>
    <font>
      <sz val="10"/>
      <name val="Arial"/>
      <family val="2"/>
    </font>
  </fonts>
  <fills count="50">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D8D8D8"/>
        <bgColor rgb="FF000000"/>
      </patternFill>
    </fill>
    <fill>
      <patternFill patternType="solid">
        <fgColor rgb="FFFFFF00"/>
        <bgColor indexed="64"/>
      </patternFill>
    </fill>
    <fill>
      <patternFill patternType="solid">
        <fgColor theme="5" tint="0.39997558519241921"/>
        <bgColor indexed="64"/>
      </patternFill>
    </fill>
    <fill>
      <patternFill patternType="solid">
        <fgColor rgb="FFD8D8D8"/>
        <bgColor indexed="64"/>
      </patternFill>
    </fill>
    <fill>
      <patternFill patternType="solid">
        <fgColor theme="6"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rgb="FF000000"/>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mediumGray">
        <bgColor theme="6" tint="0.39994506668294322"/>
      </patternFill>
    </fill>
    <fill>
      <patternFill patternType="solid">
        <fgColor theme="8"/>
        <bgColor indexed="64"/>
      </patternFill>
    </fill>
    <fill>
      <patternFill patternType="lightGray">
        <bgColor theme="4" tint="-0.249977111117893"/>
      </patternFill>
    </fill>
    <fill>
      <patternFill patternType="solid">
        <fgColor theme="5" tint="0.79998168889431442"/>
        <bgColor indexed="64"/>
      </patternFill>
    </fill>
    <fill>
      <patternFill patternType="solid">
        <fgColor theme="3" tint="0.79998168889431442"/>
        <bgColor indexed="64"/>
      </patternFill>
    </fill>
    <fill>
      <patternFill patternType="darkUp">
        <bgColor auto="1"/>
      </patternFill>
    </fill>
    <fill>
      <patternFill patternType="solid">
        <fgColor theme="4" tint="-0.499984740745262"/>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4"/>
        <bgColor indexed="64"/>
      </patternFill>
    </fill>
    <fill>
      <patternFill patternType="solid">
        <fgColor rgb="FFFFC000"/>
        <bgColor indexed="64"/>
      </patternFill>
    </fill>
    <fill>
      <patternFill patternType="lightGray"/>
    </fill>
    <fill>
      <patternFill patternType="solid">
        <fgColor theme="0" tint="-4.9989318521683403E-2"/>
        <bgColor indexed="64"/>
      </patternFill>
    </fill>
    <fill>
      <patternFill patternType="gray125">
        <bgColor theme="4" tint="-0.499984740745262"/>
      </patternFill>
    </fill>
    <fill>
      <patternFill patternType="gray125">
        <bgColor rgb="FF92D050"/>
      </patternFill>
    </fill>
    <fill>
      <patternFill patternType="solid">
        <fgColor rgb="FF002060"/>
        <bgColor indexed="64"/>
      </patternFill>
    </fill>
    <fill>
      <patternFill patternType="solid">
        <fgColor theme="9"/>
        <bgColor indexed="64"/>
      </patternFill>
    </fill>
    <fill>
      <patternFill patternType="gray125">
        <bgColor theme="9"/>
      </patternFill>
    </fill>
    <fill>
      <patternFill patternType="solid">
        <fgColor theme="9" tint="0.79998168889431442"/>
        <bgColor indexed="64"/>
      </patternFill>
    </fill>
    <fill>
      <patternFill patternType="gray0625">
        <bgColor theme="9" tint="0.79998168889431442"/>
      </patternFill>
    </fill>
    <fill>
      <patternFill patternType="gray0625">
        <bgColor theme="7" tint="0.79998168889431442"/>
      </patternFill>
    </fill>
    <fill>
      <patternFill patternType="solid">
        <fgColor theme="9" tint="0.59999389629810485"/>
        <bgColor indexed="64"/>
      </patternFill>
    </fill>
    <fill>
      <patternFill patternType="gray0625">
        <bgColor theme="8" tint="0.79998168889431442"/>
      </patternFill>
    </fill>
    <fill>
      <patternFill patternType="solid">
        <fgColor theme="2"/>
        <bgColor indexed="64"/>
      </patternFill>
    </fill>
    <fill>
      <patternFill patternType="gray0625"/>
    </fill>
    <fill>
      <patternFill patternType="solid">
        <fgColor rgb="FFFFFF99"/>
        <bgColor indexed="64"/>
      </patternFill>
    </fill>
    <fill>
      <patternFill patternType="gray0625">
        <bgColor theme="2"/>
      </patternFill>
    </fill>
    <fill>
      <patternFill patternType="gray0625">
        <bgColor theme="6" tint="0.79998168889431442"/>
      </patternFill>
    </fill>
    <fill>
      <patternFill patternType="gray0625">
        <bgColor rgb="FFFFFF99"/>
      </patternFill>
    </fill>
    <fill>
      <patternFill patternType="solid">
        <fgColor rgb="FFFFFFCC"/>
        <bgColor indexed="64"/>
      </patternFill>
    </fill>
  </fills>
  <borders count="8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theme="9"/>
      </left>
      <right/>
      <top/>
      <bottom/>
      <diagonal/>
    </border>
    <border>
      <left/>
      <right style="thin">
        <color indexed="64"/>
      </right>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medium">
        <color theme="9"/>
      </left>
      <right style="thin">
        <color indexed="64"/>
      </right>
      <top style="medium">
        <color theme="9"/>
      </top>
      <bottom style="thin">
        <color indexed="64"/>
      </bottom>
      <diagonal/>
    </border>
    <border>
      <left style="thin">
        <color indexed="64"/>
      </left>
      <right style="thin">
        <color indexed="64"/>
      </right>
      <top style="medium">
        <color theme="9"/>
      </top>
      <bottom style="thin">
        <color indexed="64"/>
      </bottom>
      <diagonal/>
    </border>
    <border>
      <left style="thin">
        <color indexed="64"/>
      </left>
      <right/>
      <top style="medium">
        <color theme="9"/>
      </top>
      <bottom style="thin">
        <color indexed="64"/>
      </bottom>
      <diagonal/>
    </border>
    <border>
      <left style="thin">
        <color indexed="64"/>
      </left>
      <right style="medium">
        <color theme="9"/>
      </right>
      <top style="medium">
        <color theme="9"/>
      </top>
      <bottom style="thin">
        <color indexed="64"/>
      </bottom>
      <diagonal/>
    </border>
    <border>
      <left style="medium">
        <color theme="9"/>
      </left>
      <right/>
      <top/>
      <bottom/>
      <diagonal/>
    </border>
    <border>
      <left style="thin">
        <color indexed="64"/>
      </left>
      <right style="medium">
        <color theme="9"/>
      </right>
      <top style="thin">
        <color indexed="64"/>
      </top>
      <bottom style="thin">
        <color indexed="64"/>
      </bottom>
      <diagonal/>
    </border>
    <border>
      <left style="medium">
        <color theme="9"/>
      </left>
      <right/>
      <top/>
      <bottom style="medium">
        <color theme="9"/>
      </bottom>
      <diagonal/>
    </border>
    <border>
      <left/>
      <right/>
      <top/>
      <bottom style="medium">
        <color theme="9"/>
      </bottom>
      <diagonal/>
    </border>
    <border>
      <left style="thin">
        <color indexed="64"/>
      </left>
      <right style="thin">
        <color indexed="64"/>
      </right>
      <top style="thin">
        <color indexed="64"/>
      </top>
      <bottom style="medium">
        <color theme="9"/>
      </bottom>
      <diagonal/>
    </border>
    <border>
      <left style="thin">
        <color indexed="64"/>
      </left>
      <right style="medium">
        <color theme="9"/>
      </right>
      <top style="thin">
        <color indexed="64"/>
      </top>
      <bottom style="medium">
        <color theme="9"/>
      </bottom>
      <diagonal/>
    </border>
    <border>
      <left/>
      <right style="thin">
        <color indexed="64"/>
      </right>
      <top style="medium">
        <color theme="9"/>
      </top>
      <bottom style="thin">
        <color indexed="64"/>
      </bottom>
      <diagonal/>
    </border>
    <border>
      <left/>
      <right style="medium">
        <color theme="9"/>
      </right>
      <top style="medium">
        <color theme="9"/>
      </top>
      <bottom/>
      <diagonal/>
    </border>
    <border>
      <left style="medium">
        <color theme="9"/>
      </left>
      <right style="thin">
        <color indexed="64"/>
      </right>
      <top style="thin">
        <color indexed="64"/>
      </top>
      <bottom style="thin">
        <color indexed="64"/>
      </bottom>
      <diagonal/>
    </border>
    <border>
      <left/>
      <right style="medium">
        <color theme="9"/>
      </right>
      <top style="thin">
        <color indexed="64"/>
      </top>
      <bottom style="thin">
        <color indexed="64"/>
      </bottom>
      <diagonal/>
    </border>
    <border>
      <left/>
      <right style="medium">
        <color theme="9"/>
      </right>
      <top/>
      <bottom/>
      <diagonal/>
    </border>
    <border>
      <left style="medium">
        <color theme="9"/>
      </left>
      <right style="thin">
        <color indexed="64"/>
      </right>
      <top style="thin">
        <color indexed="64"/>
      </top>
      <bottom style="medium">
        <color theme="9"/>
      </bottom>
      <diagonal/>
    </border>
    <border>
      <left/>
      <right style="medium">
        <color theme="9"/>
      </right>
      <top/>
      <bottom style="medium">
        <color theme="9"/>
      </bottom>
      <diagonal/>
    </border>
    <border>
      <left style="thin">
        <color theme="0"/>
      </left>
      <right style="thin">
        <color theme="0"/>
      </right>
      <top/>
      <bottom style="thin">
        <color theme="0"/>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s>
  <cellStyleXfs count="13">
    <xf numFmtId="0" fontId="0" fillId="0" borderId="0">
      <alignment vertical="center"/>
    </xf>
    <xf numFmtId="0" fontId="1" fillId="0" borderId="0">
      <alignment vertical="center"/>
    </xf>
    <xf numFmtId="0" fontId="9" fillId="0" borderId="0" applyNumberFormat="0" applyFill="0" applyBorder="0" applyAlignment="0" applyProtection="0">
      <alignment vertical="center"/>
    </xf>
    <xf numFmtId="9" fontId="13" fillId="0" borderId="0" applyFont="0" applyFill="0" applyBorder="0" applyAlignment="0" applyProtection="0">
      <alignment vertical="center"/>
    </xf>
    <xf numFmtId="43" fontId="13" fillId="0" borderId="0" applyFont="0" applyFill="0" applyBorder="0" applyAlignment="0" applyProtection="0">
      <alignment vertical="center"/>
    </xf>
    <xf numFmtId="0" fontId="19" fillId="0" borderId="0">
      <alignment vertical="center"/>
    </xf>
    <xf numFmtId="0" fontId="13" fillId="0" borderId="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xf numFmtId="0" fontId="13" fillId="0" borderId="0">
      <alignment vertical="center"/>
    </xf>
    <xf numFmtId="0" fontId="19" fillId="0" borderId="0">
      <alignment vertical="center"/>
    </xf>
    <xf numFmtId="0" fontId="19" fillId="0" borderId="0">
      <alignment vertical="center"/>
    </xf>
  </cellStyleXfs>
  <cellXfs count="1763">
    <xf numFmtId="0" fontId="0" fillId="0" borderId="0" xfId="0">
      <alignment vertical="center"/>
    </xf>
    <xf numFmtId="0" fontId="5" fillId="0" borderId="0" xfId="0" applyFont="1">
      <alignment vertical="center"/>
    </xf>
    <xf numFmtId="0" fontId="4" fillId="0" borderId="0" xfId="0" applyFont="1">
      <alignment vertical="center"/>
    </xf>
    <xf numFmtId="0" fontId="2" fillId="0" borderId="0" xfId="0" applyFont="1">
      <alignment vertical="center"/>
    </xf>
    <xf numFmtId="0" fontId="6" fillId="0" borderId="0" xfId="0" applyFont="1">
      <alignment vertical="center"/>
    </xf>
    <xf numFmtId="0" fontId="4" fillId="0" borderId="5" xfId="0" applyFont="1" applyBorder="1">
      <alignment vertical="center"/>
    </xf>
    <xf numFmtId="0" fontId="4" fillId="0" borderId="6" xfId="0" applyFont="1" applyBorder="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6" fillId="0" borderId="6" xfId="0" applyFont="1" applyBorder="1" applyAlignment="1">
      <alignment horizontal="left" vertical="center"/>
    </xf>
    <xf numFmtId="0" fontId="6" fillId="0" borderId="5" xfId="0" applyFont="1" applyBorder="1">
      <alignment vertical="center"/>
    </xf>
    <xf numFmtId="0" fontId="6" fillId="0" borderId="5" xfId="0" applyFont="1" applyBorder="1" applyAlignment="1">
      <alignment horizontal="left"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0" fontId="4" fillId="0" borderId="5" xfId="0" applyFont="1" applyFill="1" applyBorder="1" applyAlignment="1">
      <alignment horizontal="left" vertical="center" indent="1"/>
    </xf>
    <xf numFmtId="0" fontId="4" fillId="0" borderId="0" xfId="0" applyFont="1" applyFill="1">
      <alignment vertical="center"/>
    </xf>
    <xf numFmtId="0" fontId="5" fillId="0" borderId="0" xfId="0" applyFont="1" applyFill="1">
      <alignment vertical="center"/>
    </xf>
    <xf numFmtId="0" fontId="6" fillId="0" borderId="5" xfId="0" applyFont="1" applyFill="1" applyBorder="1">
      <alignmen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6" fillId="0" borderId="5" xfId="0" applyFont="1" applyFill="1" applyBorder="1" applyAlignment="1">
      <alignment horizontal="left" vertical="center"/>
    </xf>
    <xf numFmtId="0" fontId="4" fillId="0" borderId="0" xfId="0" applyFont="1" applyFill="1" applyAlignment="1">
      <alignment horizontal="right" vertical="center"/>
    </xf>
    <xf numFmtId="0" fontId="5" fillId="0" borderId="0" xfId="0" applyFont="1" applyFill="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xf numFmtId="0" fontId="2" fillId="0" borderId="7"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10" fillId="0" borderId="2" xfId="2" applyFont="1" applyBorder="1">
      <alignment vertical="center"/>
    </xf>
    <xf numFmtId="0" fontId="10" fillId="0" borderId="4" xfId="2" applyFont="1" applyBorder="1">
      <alignment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8" fillId="0" borderId="19" xfId="0" applyFont="1" applyFill="1" applyBorder="1" applyAlignment="1">
      <alignment horizontal="center" vertical="center"/>
    </xf>
    <xf numFmtId="0" fontId="8" fillId="0" borderId="8" xfId="0" applyFont="1" applyFill="1" applyBorder="1" applyAlignment="1">
      <alignment horizontal="center" vertical="center"/>
    </xf>
    <xf numFmtId="0" fontId="11" fillId="4" borderId="5" xfId="0" applyFont="1" applyFill="1" applyBorder="1" applyAlignment="1">
      <alignment horizontal="center" vertical="center" wrapText="1"/>
    </xf>
    <xf numFmtId="0" fontId="4" fillId="0" borderId="21" xfId="0" applyFont="1" applyFill="1" applyBorder="1" applyAlignment="1">
      <alignment horizontal="right" vertical="center"/>
    </xf>
    <xf numFmtId="0" fontId="4" fillId="0" borderId="21" xfId="0" applyFont="1" applyFill="1" applyBorder="1" applyAlignment="1">
      <alignment vertical="center"/>
    </xf>
    <xf numFmtId="0" fontId="5" fillId="0" borderId="5" xfId="0" applyFont="1" applyBorder="1">
      <alignment vertical="center"/>
    </xf>
    <xf numFmtId="0" fontId="2" fillId="0" borderId="0" xfId="0" applyFont="1" applyBorder="1" applyAlignment="1">
      <alignment horizontal="center" vertical="center"/>
    </xf>
    <xf numFmtId="0" fontId="4" fillId="0" borderId="21"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8" fillId="0" borderId="0" xfId="0" applyFont="1" applyFill="1" applyBorder="1" applyAlignment="1">
      <alignment horizontal="center" vertical="center"/>
    </xf>
    <xf numFmtId="0" fontId="4" fillId="0" borderId="5" xfId="0" applyFont="1" applyBorder="1" applyAlignment="1">
      <alignment horizontal="left" vertical="center" wrapText="1"/>
    </xf>
    <xf numFmtId="0" fontId="4" fillId="0" borderId="5" xfId="0" applyFont="1" applyBorder="1" applyAlignment="1">
      <alignment vertical="center" wrapText="1"/>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4" fillId="0" borderId="22" xfId="0" applyFont="1" applyFill="1" applyBorder="1" applyAlignment="1">
      <alignment horizontal="center" vertical="center"/>
    </xf>
    <xf numFmtId="0" fontId="4" fillId="0" borderId="0" xfId="0" applyFont="1" applyFill="1" applyAlignment="1">
      <alignment vertical="center"/>
    </xf>
    <xf numFmtId="0" fontId="4" fillId="0" borderId="5" xfId="0" applyFont="1" applyFill="1" applyBorder="1" applyAlignment="1">
      <alignment horizontal="center" vertical="center"/>
    </xf>
    <xf numFmtId="0" fontId="6" fillId="0" borderId="24" xfId="0" applyFont="1" applyBorder="1" applyAlignment="1">
      <alignment horizontal="left" vertical="center"/>
    </xf>
    <xf numFmtId="0" fontId="4" fillId="0" borderId="22" xfId="0" applyFont="1" applyBorder="1">
      <alignment vertical="center"/>
    </xf>
    <xf numFmtId="0" fontId="4" fillId="0" borderId="5" xfId="0" applyFont="1" applyFill="1" applyBorder="1" applyAlignment="1">
      <alignment horizontal="right" vertical="center"/>
    </xf>
    <xf numFmtId="0" fontId="4" fillId="0" borderId="5" xfId="0" applyFont="1" applyFill="1" applyBorder="1">
      <alignment vertical="center"/>
    </xf>
    <xf numFmtId="0" fontId="6" fillId="0" borderId="5" xfId="0" applyFont="1" applyFill="1" applyBorder="1" applyAlignment="1">
      <alignment horizontal="right" vertical="center"/>
    </xf>
    <xf numFmtId="0" fontId="6" fillId="0" borderId="22" xfId="0" applyFont="1" applyFill="1" applyBorder="1">
      <alignment vertical="center"/>
    </xf>
    <xf numFmtId="0" fontId="4" fillId="0" borderId="21" xfId="0" applyFont="1" applyFill="1" applyBorder="1" applyAlignment="1">
      <alignment horizontal="left" vertical="center"/>
    </xf>
    <xf numFmtId="0" fontId="4" fillId="0" borderId="5" xfId="0" applyFont="1" applyFill="1" applyBorder="1" applyAlignment="1">
      <alignment vertical="center"/>
    </xf>
    <xf numFmtId="176" fontId="4" fillId="0" borderId="5" xfId="0" applyNumberFormat="1" applyFont="1" applyBorder="1" applyAlignment="1">
      <alignment horizontal="center" vertical="center"/>
    </xf>
    <xf numFmtId="177" fontId="4" fillId="0" borderId="5" xfId="0" applyNumberFormat="1" applyFont="1" applyFill="1" applyBorder="1" applyAlignment="1">
      <alignment horizontal="right" vertical="center"/>
    </xf>
    <xf numFmtId="43" fontId="4" fillId="0" borderId="5" xfId="0" applyNumberFormat="1" applyFont="1" applyFill="1" applyBorder="1" applyAlignment="1">
      <alignment horizontal="center" vertical="center"/>
    </xf>
    <xf numFmtId="43" fontId="4" fillId="0" borderId="5" xfId="0" applyNumberFormat="1" applyFont="1" applyFill="1" applyBorder="1" applyAlignment="1">
      <alignment horizontal="right" vertical="center"/>
    </xf>
    <xf numFmtId="0" fontId="7" fillId="2" borderId="5" xfId="0" applyFont="1" applyFill="1" applyBorder="1" applyAlignment="1">
      <alignment horizontal="center" vertical="center"/>
    </xf>
    <xf numFmtId="10" fontId="4" fillId="0" borderId="5"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5" xfId="0" applyFont="1" applyBorder="1" applyAlignment="1">
      <alignment horizontal="center" vertical="center"/>
    </xf>
    <xf numFmtId="0" fontId="6" fillId="0" borderId="5" xfId="0" applyFont="1" applyFill="1" applyBorder="1" applyAlignment="1">
      <alignment horizontal="center" vertical="center"/>
    </xf>
    <xf numFmtId="0" fontId="4" fillId="0" borderId="22" xfId="0" applyFont="1" applyFill="1" applyBorder="1">
      <alignment vertical="center"/>
    </xf>
    <xf numFmtId="179" fontId="5" fillId="0" borderId="5" xfId="0" applyNumberFormat="1" applyFont="1" applyFill="1" applyBorder="1">
      <alignment vertical="center"/>
    </xf>
    <xf numFmtId="179" fontId="4" fillId="0" borderId="5" xfId="0" applyNumberFormat="1" applyFont="1" applyFill="1" applyBorder="1">
      <alignment vertical="center"/>
    </xf>
    <xf numFmtId="179" fontId="4" fillId="0" borderId="5" xfId="0" applyNumberFormat="1" applyFont="1" applyBorder="1">
      <alignment vertical="center"/>
    </xf>
    <xf numFmtId="0" fontId="4" fillId="0" borderId="5" xfId="0" applyFont="1" applyFill="1" applyBorder="1" applyAlignment="1">
      <alignment horizontal="center" vertical="center"/>
    </xf>
    <xf numFmtId="0" fontId="4" fillId="0" borderId="0" xfId="0" applyFont="1" applyAlignment="1">
      <alignment vertical="center"/>
    </xf>
    <xf numFmtId="10" fontId="4" fillId="0" borderId="0" xfId="0" applyNumberFormat="1" applyFont="1">
      <alignment vertical="center"/>
    </xf>
    <xf numFmtId="0" fontId="6" fillId="0" borderId="5" xfId="0" applyFont="1" applyFill="1" applyBorder="1" applyAlignment="1">
      <alignment vertical="center"/>
    </xf>
    <xf numFmtId="0" fontId="6" fillId="0" borderId="5" xfId="0" applyFont="1" applyBorder="1" applyAlignment="1">
      <alignment vertical="center"/>
    </xf>
    <xf numFmtId="0" fontId="6" fillId="0" borderId="0" xfId="0" applyFont="1" applyAlignment="1">
      <alignment vertical="center"/>
    </xf>
    <xf numFmtId="0" fontId="4" fillId="0" borderId="5" xfId="0" applyFont="1" applyFill="1" applyBorder="1" applyAlignment="1">
      <alignment horizontal="center" vertical="center"/>
    </xf>
    <xf numFmtId="0" fontId="4" fillId="0" borderId="0" xfId="0" applyFont="1" applyAlignment="1">
      <alignment horizontal="center" vertical="center"/>
    </xf>
    <xf numFmtId="0" fontId="0" fillId="0" borderId="0" xfId="0" applyFont="1">
      <alignment vertical="center"/>
    </xf>
    <xf numFmtId="0" fontId="6" fillId="0" borderId="5" xfId="0" applyFont="1" applyBorder="1" applyAlignment="1">
      <alignment vertical="center" wrapText="1"/>
    </xf>
    <xf numFmtId="0" fontId="8" fillId="0" borderId="7" xfId="0" applyFont="1" applyFill="1" applyBorder="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0" fontId="4" fillId="0" borderId="0" xfId="0" applyFont="1" applyBorder="1">
      <alignment vertical="center"/>
    </xf>
    <xf numFmtId="0" fontId="7" fillId="2" borderId="27" xfId="0" applyFont="1" applyFill="1" applyBorder="1" applyAlignment="1">
      <alignment horizontal="center" vertical="center"/>
    </xf>
    <xf numFmtId="0" fontId="2" fillId="0" borderId="7" xfId="0" applyFont="1" applyBorder="1" applyAlignment="1">
      <alignment horizontal="center" vertical="center"/>
    </xf>
    <xf numFmtId="0" fontId="20" fillId="0" borderId="23" xfId="0" applyFont="1" applyFill="1" applyBorder="1">
      <alignment vertical="center"/>
    </xf>
    <xf numFmtId="0" fontId="20" fillId="0" borderId="5" xfId="0" applyFont="1" applyFill="1" applyBorder="1" applyAlignment="1">
      <alignment horizontal="center" vertical="center" wrapText="1"/>
    </xf>
    <xf numFmtId="0" fontId="4"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ont="1" applyAlignment="1">
      <alignment horizontal="center" vertical="center"/>
    </xf>
    <xf numFmtId="0" fontId="20" fillId="0" borderId="23"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23" xfId="0" applyFont="1" applyFill="1" applyBorder="1" applyAlignment="1">
      <alignment horizontal="center" vertical="center" wrapText="1"/>
    </xf>
    <xf numFmtId="0" fontId="20" fillId="0" borderId="5"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21" xfId="0" applyFont="1" applyFill="1" applyBorder="1" applyAlignment="1">
      <alignment horizontal="center" vertical="center" wrapText="1"/>
    </xf>
    <xf numFmtId="0" fontId="20" fillId="0" borderId="30" xfId="0" applyFont="1" applyFill="1" applyBorder="1" applyAlignment="1">
      <alignment horizontal="center" vertical="center"/>
    </xf>
    <xf numFmtId="0" fontId="20" fillId="0" borderId="27" xfId="0" applyFont="1" applyFill="1" applyBorder="1" applyAlignment="1">
      <alignment horizontal="center" vertical="center"/>
    </xf>
    <xf numFmtId="0" fontId="20" fillId="0" borderId="23" xfId="0" applyFont="1" applyFill="1" applyBorder="1" applyAlignment="1">
      <alignment horizontal="center" vertical="center"/>
    </xf>
    <xf numFmtId="0" fontId="20" fillId="0" borderId="12" xfId="0" applyFont="1" applyBorder="1" applyAlignment="1">
      <alignment horizontal="left" vertical="center" wrapText="1"/>
    </xf>
    <xf numFmtId="0" fontId="2" fillId="0" borderId="7" xfId="0" applyFont="1" applyBorder="1" applyAlignment="1">
      <alignment horizontal="center" vertical="center"/>
    </xf>
    <xf numFmtId="0" fontId="20" fillId="0" borderId="21" xfId="0" applyFont="1" applyBorder="1" applyAlignment="1">
      <alignment vertical="center" wrapText="1"/>
    </xf>
    <xf numFmtId="0" fontId="20" fillId="0" borderId="5" xfId="0" applyFont="1" applyBorder="1" applyAlignment="1">
      <alignment horizontal="left" vertical="center" wrapText="1"/>
    </xf>
    <xf numFmtId="0" fontId="22" fillId="7" borderId="5" xfId="6" applyFont="1" applyFill="1" applyBorder="1" applyAlignment="1">
      <alignment horizontal="center" vertical="center" wrapText="1"/>
    </xf>
    <xf numFmtId="0" fontId="22" fillId="0" borderId="5" xfId="6" applyFont="1" applyBorder="1" applyAlignment="1">
      <alignment horizontal="center" vertical="center" wrapText="1"/>
    </xf>
    <xf numFmtId="0" fontId="24" fillId="0" borderId="5" xfId="6" applyFont="1" applyBorder="1" applyAlignment="1">
      <alignment horizontal="center" vertical="center" wrapText="1"/>
    </xf>
    <xf numFmtId="0" fontId="24" fillId="0" borderId="5" xfId="6" applyFont="1" applyBorder="1" applyAlignment="1">
      <alignment horizontal="left" vertical="center" wrapText="1"/>
    </xf>
    <xf numFmtId="0" fontId="24" fillId="0" borderId="5" xfId="6" applyFont="1" applyFill="1" applyBorder="1" applyAlignment="1">
      <alignment horizontal="left" vertical="center" wrapText="1"/>
    </xf>
    <xf numFmtId="0" fontId="24" fillId="0" borderId="0" xfId="6" applyFont="1" applyBorder="1" applyAlignment="1">
      <alignment horizontal="left" vertical="center" wrapText="1"/>
    </xf>
    <xf numFmtId="0" fontId="0" fillId="0" borderId="0" xfId="0" applyBorder="1">
      <alignment vertical="center"/>
    </xf>
    <xf numFmtId="0" fontId="20" fillId="0" borderId="5" xfId="0" applyFont="1" applyFill="1" applyBorder="1" applyAlignment="1">
      <alignment horizontal="left" vertical="center" wrapText="1"/>
    </xf>
    <xf numFmtId="0" fontId="22" fillId="0" borderId="5" xfId="6" applyFont="1" applyBorder="1" applyAlignment="1">
      <alignment horizontal="center" vertical="center"/>
    </xf>
    <xf numFmtId="3" fontId="24" fillId="0" borderId="5" xfId="4" applyNumberFormat="1" applyFont="1" applyBorder="1" applyAlignment="1">
      <alignment horizontal="center" vertical="center" wrapText="1"/>
    </xf>
    <xf numFmtId="9" fontId="24" fillId="0" borderId="5" xfId="4" applyNumberFormat="1" applyFont="1" applyBorder="1" applyAlignment="1">
      <alignment horizontal="center" vertical="center" wrapText="1"/>
    </xf>
    <xf numFmtId="0" fontId="4" fillId="6" borderId="5" xfId="0" applyFont="1" applyFill="1" applyBorder="1" applyAlignment="1">
      <alignment horizontal="center" vertical="center"/>
    </xf>
    <xf numFmtId="0" fontId="25" fillId="0" borderId="0" xfId="0" applyFont="1" applyFill="1" applyBorder="1" applyAlignment="1">
      <alignment horizontal="center" vertical="center"/>
    </xf>
    <xf numFmtId="3" fontId="4" fillId="0" borderId="5" xfId="0" applyNumberFormat="1" applyFont="1" applyFill="1" applyBorder="1" applyAlignment="1">
      <alignment horizontal="right" vertical="center"/>
    </xf>
    <xf numFmtId="3" fontId="4" fillId="0" borderId="5" xfId="0" applyNumberFormat="1" applyFont="1" applyBorder="1">
      <alignment vertical="center"/>
    </xf>
    <xf numFmtId="9" fontId="4" fillId="0" borderId="5" xfId="3" applyFont="1" applyFill="1" applyBorder="1" applyAlignment="1">
      <alignment horizontal="right" vertical="center"/>
    </xf>
    <xf numFmtId="0" fontId="24" fillId="8" borderId="5" xfId="6" applyFont="1" applyFill="1" applyBorder="1" applyAlignment="1">
      <alignment horizontal="center" vertical="center" wrapText="1"/>
    </xf>
    <xf numFmtId="0" fontId="24" fillId="0" borderId="5" xfId="6" applyFont="1" applyFill="1" applyBorder="1" applyAlignment="1">
      <alignment horizontal="center" vertical="center" wrapText="1"/>
    </xf>
    <xf numFmtId="0" fontId="20" fillId="0" borderId="0" xfId="0" applyFont="1">
      <alignment vertical="center"/>
    </xf>
    <xf numFmtId="0" fontId="26" fillId="0" borderId="0" xfId="0" applyFont="1" applyAlignment="1">
      <alignment horizontal="center" vertical="center"/>
    </xf>
    <xf numFmtId="182" fontId="26" fillId="0" borderId="0" xfId="0" applyNumberFormat="1" applyFont="1" applyAlignment="1">
      <alignment horizontal="center" vertical="center"/>
    </xf>
    <xf numFmtId="43" fontId="4" fillId="0" borderId="0" xfId="4" applyFont="1">
      <alignment vertical="center"/>
    </xf>
    <xf numFmtId="43" fontId="4" fillId="0" borderId="0" xfId="4" applyFont="1" applyFill="1">
      <alignment vertical="center"/>
    </xf>
    <xf numFmtId="43" fontId="0" fillId="0" borderId="0" xfId="0" applyNumberFormat="1">
      <alignment vertical="center"/>
    </xf>
    <xf numFmtId="183" fontId="0" fillId="0" borderId="0" xfId="0" applyNumberFormat="1">
      <alignment vertical="center"/>
    </xf>
    <xf numFmtId="0" fontId="4" fillId="5" borderId="0" xfId="0" applyFont="1" applyFill="1">
      <alignment vertical="center"/>
    </xf>
    <xf numFmtId="0" fontId="4" fillId="0" borderId="32" xfId="0" applyFont="1" applyBorder="1">
      <alignment vertical="center"/>
    </xf>
    <xf numFmtId="0" fontId="4" fillId="0" borderId="3" xfId="0" applyFont="1" applyBorder="1" applyAlignment="1">
      <alignment horizontal="left" vertical="center"/>
    </xf>
    <xf numFmtId="0" fontId="27" fillId="0" borderId="0" xfId="0" applyFont="1">
      <alignment vertical="center"/>
    </xf>
    <xf numFmtId="0" fontId="28" fillId="0" borderId="0" xfId="0" applyFont="1">
      <alignment vertical="center"/>
    </xf>
    <xf numFmtId="0" fontId="28" fillId="0" borderId="0" xfId="0" applyFont="1" applyBorder="1">
      <alignment vertical="center"/>
    </xf>
    <xf numFmtId="0" fontId="30" fillId="0" borderId="5" xfId="0" applyFont="1" applyBorder="1" applyAlignment="1">
      <alignment horizontal="center" vertical="center" wrapText="1"/>
    </xf>
    <xf numFmtId="0" fontId="31" fillId="0" borderId="5" xfId="0" applyFont="1" applyBorder="1" applyAlignment="1">
      <alignment horizontal="left" vertical="center" wrapText="1"/>
    </xf>
    <xf numFmtId="0" fontId="31" fillId="0" borderId="5" xfId="0" applyNumberFormat="1" applyFont="1" applyBorder="1" applyAlignment="1">
      <alignment horizontal="center" vertical="center" wrapText="1"/>
    </xf>
    <xf numFmtId="0" fontId="31" fillId="0" borderId="5" xfId="0" applyFont="1" applyBorder="1" applyAlignment="1">
      <alignment horizontal="center" vertical="center" wrapText="1"/>
    </xf>
    <xf numFmtId="0" fontId="31" fillId="0" borderId="5" xfId="0" applyNumberFormat="1" applyFont="1" applyFill="1" applyBorder="1" applyAlignment="1">
      <alignment horizontal="center" vertical="center" wrapText="1"/>
    </xf>
    <xf numFmtId="0" fontId="31" fillId="0" borderId="5" xfId="0" applyFont="1" applyFill="1" applyBorder="1" applyAlignment="1">
      <alignment horizontal="center" vertical="center" wrapText="1"/>
    </xf>
    <xf numFmtId="0" fontId="31" fillId="0" borderId="5" xfId="0" applyFont="1" applyFill="1" applyBorder="1" applyAlignment="1">
      <alignment horizontal="left" vertical="center" wrapText="1"/>
    </xf>
    <xf numFmtId="0" fontId="31" fillId="0" borderId="5" xfId="0" applyFont="1" applyBorder="1" applyAlignment="1">
      <alignment vertical="center" wrapText="1"/>
    </xf>
    <xf numFmtId="0" fontId="32" fillId="9" borderId="5" xfId="0" applyFont="1" applyFill="1" applyBorder="1" applyAlignment="1">
      <alignment horizontal="center" vertical="center" wrapText="1"/>
    </xf>
    <xf numFmtId="0" fontId="20" fillId="0" borderId="22" xfId="0" applyFont="1" applyFill="1" applyBorder="1" applyAlignment="1">
      <alignment horizontal="left" vertical="center" wrapText="1"/>
    </xf>
    <xf numFmtId="0" fontId="20" fillId="0" borderId="26"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20" fillId="0" borderId="5" xfId="0" applyFont="1" applyFill="1" applyBorder="1" applyAlignment="1">
      <alignment horizontal="left" vertical="center" wrapText="1"/>
    </xf>
    <xf numFmtId="0" fontId="2" fillId="0" borderId="15" xfId="0" applyFont="1" applyBorder="1" applyAlignment="1">
      <alignment horizontal="center" vertical="center"/>
    </xf>
    <xf numFmtId="0" fontId="2" fillId="0" borderId="7" xfId="0" applyFont="1" applyBorder="1" applyAlignment="1">
      <alignment horizontal="center" vertical="center"/>
    </xf>
    <xf numFmtId="0" fontId="8" fillId="0" borderId="20" xfId="0" applyFont="1" applyFill="1" applyBorder="1" applyAlignment="1">
      <alignment horizontal="center" vertical="center"/>
    </xf>
    <xf numFmtId="0" fontId="8" fillId="0" borderId="17"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9" xfId="0" applyFont="1" applyFill="1" applyBorder="1" applyAlignment="1">
      <alignment horizontal="center" vertical="center"/>
    </xf>
    <xf numFmtId="0" fontId="2" fillId="0" borderId="0" xfId="0" applyFont="1" applyBorder="1" applyAlignment="1">
      <alignment horizontal="center" vertical="center"/>
    </xf>
    <xf numFmtId="0" fontId="4" fillId="0" borderId="31" xfId="0" applyFont="1" applyBorder="1">
      <alignment vertical="center"/>
    </xf>
    <xf numFmtId="178" fontId="4" fillId="0" borderId="21" xfId="0" applyNumberFormat="1" applyFont="1" applyFill="1" applyBorder="1" applyAlignment="1">
      <alignment horizontal="right" vertical="center"/>
    </xf>
    <xf numFmtId="9" fontId="4" fillId="0" borderId="5" xfId="0" applyNumberFormat="1" applyFont="1" applyFill="1" applyBorder="1" applyAlignment="1">
      <alignment horizontal="right" vertical="center"/>
    </xf>
    <xf numFmtId="0" fontId="2" fillId="0" borderId="34" xfId="0" applyFont="1" applyBorder="1" applyAlignment="1">
      <alignment horizontal="center" vertical="center"/>
    </xf>
    <xf numFmtId="0" fontId="35" fillId="0" borderId="0" xfId="0" applyFont="1" applyBorder="1" applyAlignment="1">
      <alignment vertical="center"/>
    </xf>
    <xf numFmtId="0" fontId="31" fillId="0" borderId="0" xfId="0" applyFont="1" applyBorder="1" applyAlignment="1">
      <alignment vertical="center"/>
    </xf>
    <xf numFmtId="0" fontId="36" fillId="0" borderId="5" xfId="0" applyFont="1" applyFill="1" applyBorder="1" applyAlignment="1">
      <alignment horizontal="left" vertical="center" wrapText="1"/>
    </xf>
    <xf numFmtId="0" fontId="36" fillId="0" borderId="5" xfId="0" applyFont="1" applyFill="1" applyBorder="1" applyAlignment="1">
      <alignment horizontal="center" vertical="center" wrapText="1"/>
    </xf>
    <xf numFmtId="0" fontId="36" fillId="0" borderId="5" xfId="0" applyFont="1" applyFill="1" applyBorder="1" applyAlignment="1">
      <alignment vertical="center" wrapText="1"/>
    </xf>
    <xf numFmtId="0" fontId="36" fillId="0" borderId="5" xfId="0" applyFont="1" applyFill="1" applyBorder="1" applyAlignment="1">
      <alignment vertical="center"/>
    </xf>
    <xf numFmtId="0" fontId="36" fillId="0" borderId="5" xfId="0" applyFont="1" applyFill="1" applyBorder="1" applyAlignment="1">
      <alignment horizontal="left" vertical="center"/>
    </xf>
    <xf numFmtId="0" fontId="36" fillId="0" borderId="5" xfId="0" applyFont="1" applyFill="1" applyBorder="1" applyAlignment="1">
      <alignment horizontal="center" vertical="center"/>
    </xf>
    <xf numFmtId="0" fontId="11" fillId="0" borderId="22" xfId="0" applyFont="1" applyFill="1" applyBorder="1" applyAlignment="1">
      <alignment vertical="center" wrapText="1"/>
    </xf>
    <xf numFmtId="0" fontId="36" fillId="0" borderId="22" xfId="0" applyFont="1" applyFill="1" applyBorder="1" applyAlignment="1">
      <alignment horizontal="left" vertical="center"/>
    </xf>
    <xf numFmtId="0" fontId="36" fillId="0" borderId="22" xfId="0" applyFont="1" applyFill="1" applyBorder="1" applyAlignment="1">
      <alignment horizontal="center" vertical="center"/>
    </xf>
    <xf numFmtId="0" fontId="36" fillId="0" borderId="22" xfId="0" applyFont="1" applyFill="1" applyBorder="1" applyAlignment="1">
      <alignment vertical="center" wrapText="1"/>
    </xf>
    <xf numFmtId="0" fontId="36" fillId="0" borderId="22" xfId="0" applyFont="1" applyFill="1" applyBorder="1" applyAlignment="1">
      <alignment horizontal="left" vertical="center" wrapText="1"/>
    </xf>
    <xf numFmtId="0" fontId="11" fillId="0" borderId="5" xfId="0" applyFont="1" applyFill="1" applyBorder="1" applyAlignment="1">
      <alignment horizontal="center" vertical="center" wrapText="1"/>
    </xf>
    <xf numFmtId="0" fontId="35" fillId="0" borderId="5" xfId="0" applyFont="1" applyFill="1" applyBorder="1" applyAlignment="1">
      <alignment vertical="center"/>
    </xf>
    <xf numFmtId="0" fontId="35" fillId="0" borderId="0" xfId="0" applyFont="1" applyBorder="1" applyAlignment="1">
      <alignment horizontal="center" vertical="center" wrapText="1"/>
    </xf>
    <xf numFmtId="0" fontId="35" fillId="0" borderId="0" xfId="0" applyFont="1" applyBorder="1" applyAlignment="1">
      <alignment horizontal="left" vertical="center"/>
    </xf>
    <xf numFmtId="0" fontId="35" fillId="0" borderId="0" xfId="0" applyFont="1" applyBorder="1" applyAlignment="1">
      <alignment horizontal="center" vertical="center"/>
    </xf>
    <xf numFmtId="0" fontId="6" fillId="0" borderId="0" xfId="0" applyFont="1" applyBorder="1" applyAlignment="1">
      <alignment horizontal="center" vertical="center"/>
    </xf>
    <xf numFmtId="0" fontId="4" fillId="0" borderId="5" xfId="0" applyFont="1" applyFill="1" applyBorder="1" applyAlignment="1">
      <alignment horizontal="center" vertical="center"/>
    </xf>
    <xf numFmtId="0" fontId="2" fillId="0" borderId="0" xfId="0" applyFont="1" applyBorder="1" applyAlignment="1">
      <alignment horizontal="center" vertical="center"/>
    </xf>
    <xf numFmtId="43" fontId="6" fillId="0" borderId="5" xfId="0" applyNumberFormat="1" applyFont="1" applyFill="1" applyBorder="1" applyAlignment="1">
      <alignment horizontal="right" vertical="center"/>
    </xf>
    <xf numFmtId="0" fontId="6" fillId="0" borderId="0" xfId="0" applyFont="1" applyBorder="1" applyAlignment="1">
      <alignment horizontal="left" vertical="center"/>
    </xf>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Border="1" applyAlignment="1">
      <alignment vertical="center"/>
    </xf>
    <xf numFmtId="43" fontId="6" fillId="0" borderId="0" xfId="0" applyNumberFormat="1" applyFont="1" applyFill="1" applyBorder="1" applyAlignment="1">
      <alignment horizontal="right" vertical="center"/>
    </xf>
    <xf numFmtId="184" fontId="4" fillId="0" borderId="5" xfId="4" applyNumberFormat="1" applyFont="1" applyFill="1" applyBorder="1" applyAlignment="1">
      <alignment horizontal="right" vertical="center"/>
    </xf>
    <xf numFmtId="0" fontId="20" fillId="0" borderId="5" xfId="0" applyFont="1" applyFill="1" applyBorder="1" applyAlignment="1">
      <alignment horizontal="left" vertical="center" wrapText="1"/>
    </xf>
    <xf numFmtId="0" fontId="20" fillId="0" borderId="5" xfId="0" applyFont="1" applyBorder="1" applyAlignment="1">
      <alignment horizontal="left" vertical="center" wrapText="1"/>
    </xf>
    <xf numFmtId="0" fontId="36" fillId="0" borderId="5" xfId="0" applyFont="1" applyFill="1" applyBorder="1" applyAlignment="1">
      <alignment horizontal="left" vertical="center" wrapText="1"/>
    </xf>
    <xf numFmtId="0" fontId="4" fillId="9" borderId="5" xfId="0" applyFont="1" applyFill="1" applyBorder="1" applyAlignment="1">
      <alignment horizontal="center" vertical="center"/>
    </xf>
    <xf numFmtId="0" fontId="4" fillId="9" borderId="22" xfId="0" applyFont="1" applyFill="1" applyBorder="1" applyAlignment="1">
      <alignment horizontal="center" vertical="center"/>
    </xf>
    <xf numFmtId="0" fontId="24" fillId="9" borderId="5" xfId="6" applyFont="1" applyFill="1" applyBorder="1" applyAlignment="1">
      <alignment horizontal="center" vertical="center" wrapText="1"/>
    </xf>
    <xf numFmtId="0" fontId="42" fillId="10" borderId="5" xfId="0" applyFont="1" applyFill="1" applyBorder="1" applyAlignment="1">
      <alignment horizontal="center" vertical="center" wrapText="1"/>
    </xf>
    <xf numFmtId="0" fontId="43" fillId="0" borderId="0" xfId="0" applyFont="1">
      <alignment vertical="center"/>
    </xf>
    <xf numFmtId="0" fontId="20" fillId="0" borderId="5" xfId="0" applyFont="1" applyBorder="1" applyAlignment="1">
      <alignment horizontal="center" vertical="center"/>
    </xf>
    <xf numFmtId="0" fontId="0" fillId="0" borderId="0" xfId="0" applyAlignment="1">
      <alignment horizontal="left" vertical="center"/>
    </xf>
    <xf numFmtId="0" fontId="21" fillId="0" borderId="0" xfId="0" applyFont="1" applyBorder="1" applyAlignment="1">
      <alignment vertical="center"/>
    </xf>
    <xf numFmtId="0" fontId="26" fillId="0" borderId="5" xfId="0" applyFont="1" applyFill="1" applyBorder="1" applyAlignment="1">
      <alignment horizontal="center" vertical="center" wrapText="1"/>
    </xf>
    <xf numFmtId="0" fontId="44" fillId="0" borderId="0" xfId="0" applyFont="1" applyAlignment="1">
      <alignment horizontal="center" vertical="center" wrapText="1"/>
    </xf>
    <xf numFmtId="0" fontId="26" fillId="0" borderId="5" xfId="0" applyFont="1" applyFill="1" applyBorder="1" applyAlignment="1">
      <alignment horizontal="left" vertical="center" wrapText="1"/>
    </xf>
    <xf numFmtId="0" fontId="26" fillId="0" borderId="5" xfId="0" applyFont="1" applyBorder="1" applyAlignment="1">
      <alignment vertical="center" wrapText="1"/>
    </xf>
    <xf numFmtId="0" fontId="36" fillId="0" borderId="5" xfId="0" applyFont="1" applyBorder="1" applyAlignment="1">
      <alignment horizontal="center" vertical="center" wrapText="1"/>
    </xf>
    <xf numFmtId="0" fontId="36" fillId="0" borderId="5" xfId="0" applyFont="1" applyBorder="1" applyAlignment="1">
      <alignment horizontal="left" vertical="center" wrapText="1"/>
    </xf>
    <xf numFmtId="0" fontId="26" fillId="0" borderId="5" xfId="0" applyFont="1" applyBorder="1">
      <alignment vertical="center"/>
    </xf>
    <xf numFmtId="0" fontId="20" fillId="0" borderId="5" xfId="0" applyFont="1" applyBorder="1" applyAlignment="1">
      <alignment vertical="center" wrapText="1"/>
    </xf>
    <xf numFmtId="0" fontId="20" fillId="0" borderId="5" xfId="0" applyFont="1" applyFill="1" applyBorder="1" applyAlignment="1">
      <alignment horizontal="center" vertical="center"/>
    </xf>
    <xf numFmtId="0" fontId="44" fillId="0" borderId="0" xfId="0" applyFont="1">
      <alignment vertical="center"/>
    </xf>
    <xf numFmtId="0" fontId="26" fillId="0" borderId="5" xfId="0" applyFont="1" applyBorder="1" applyAlignment="1">
      <alignment horizontal="left" vertical="center" wrapText="1"/>
    </xf>
    <xf numFmtId="0" fontId="11" fillId="0" borderId="5" xfId="0" applyFont="1" applyBorder="1" applyAlignment="1">
      <alignment vertical="center" wrapText="1"/>
    </xf>
    <xf numFmtId="0" fontId="41" fillId="0" borderId="0" xfId="0" applyFont="1" applyBorder="1" applyAlignment="1">
      <alignment horizontal="center" vertical="center"/>
    </xf>
    <xf numFmtId="0" fontId="43" fillId="0" borderId="5" xfId="0" applyFont="1" applyBorder="1" applyAlignment="1">
      <alignment horizontal="center" vertical="center"/>
    </xf>
    <xf numFmtId="0" fontId="43" fillId="5" borderId="5" xfId="0" applyFont="1" applyFill="1" applyBorder="1" applyAlignment="1">
      <alignment horizontal="center" vertical="center"/>
    </xf>
    <xf numFmtId="0" fontId="26" fillId="0" borderId="31" xfId="0" applyFont="1" applyFill="1" applyBorder="1" applyAlignment="1">
      <alignment horizontal="center" vertical="center" wrapText="1"/>
    </xf>
    <xf numFmtId="0" fontId="20" fillId="0" borderId="31" xfId="0" applyFont="1" applyFill="1" applyBorder="1" applyAlignment="1">
      <alignment horizontal="center" vertical="center" wrapText="1"/>
    </xf>
    <xf numFmtId="0" fontId="36" fillId="0" borderId="31" xfId="0" applyFont="1" applyBorder="1" applyAlignment="1">
      <alignment horizontal="center" vertical="center" wrapText="1"/>
    </xf>
    <xf numFmtId="0" fontId="11" fillId="5" borderId="5" xfId="0" applyFont="1" applyFill="1" applyBorder="1" applyAlignment="1">
      <alignment vertical="center" wrapText="1"/>
    </xf>
    <xf numFmtId="0" fontId="20" fillId="0" borderId="5" xfId="0" applyFont="1" applyBorder="1">
      <alignment vertical="center"/>
    </xf>
    <xf numFmtId="43" fontId="20" fillId="0" borderId="5" xfId="4" applyFont="1" applyBorder="1">
      <alignment vertical="center"/>
    </xf>
    <xf numFmtId="43" fontId="20" fillId="0" borderId="0" xfId="4" applyFont="1">
      <alignment vertical="center"/>
    </xf>
    <xf numFmtId="43" fontId="45" fillId="0" borderId="0" xfId="4" applyFont="1">
      <alignment vertical="center"/>
    </xf>
    <xf numFmtId="43" fontId="20" fillId="0" borderId="0" xfId="4" applyFont="1" applyAlignment="1">
      <alignment horizontal="center" vertical="center"/>
    </xf>
    <xf numFmtId="3" fontId="4" fillId="0" borderId="21" xfId="0" applyNumberFormat="1" applyFont="1" applyFill="1" applyBorder="1" applyAlignment="1">
      <alignment horizontal="right" vertical="center"/>
    </xf>
    <xf numFmtId="0" fontId="11" fillId="10" borderId="5" xfId="0" applyFont="1" applyFill="1" applyBorder="1" applyAlignment="1">
      <alignment horizontal="center" vertical="center"/>
    </xf>
    <xf numFmtId="0" fontId="11" fillId="10" borderId="5" xfId="0" applyFont="1" applyFill="1" applyBorder="1" applyAlignment="1">
      <alignment horizontal="center" vertical="center" wrapText="1"/>
    </xf>
    <xf numFmtId="0" fontId="11" fillId="10" borderId="22" xfId="0" applyFont="1" applyFill="1" applyBorder="1" applyAlignment="1">
      <alignment horizontal="center" vertical="center" wrapText="1"/>
    </xf>
    <xf numFmtId="43" fontId="35" fillId="0" borderId="0" xfId="4" applyFont="1" applyBorder="1" applyAlignment="1">
      <alignment vertical="center"/>
    </xf>
    <xf numFmtId="43" fontId="35" fillId="0" borderId="0" xfId="0" applyNumberFormat="1" applyFont="1" applyBorder="1" applyAlignment="1">
      <alignment vertical="center"/>
    </xf>
    <xf numFmtId="0" fontId="4" fillId="0" borderId="5" xfId="0" applyFont="1" applyFill="1" applyBorder="1" applyAlignment="1">
      <alignment horizontal="center" vertical="center"/>
    </xf>
    <xf numFmtId="0" fontId="2" fillId="0" borderId="0" xfId="0" applyFont="1" applyBorder="1" applyAlignment="1">
      <alignment horizontal="center" vertical="center"/>
    </xf>
    <xf numFmtId="0" fontId="4" fillId="0" borderId="5" xfId="0" applyFont="1" applyFill="1" applyBorder="1" applyAlignment="1">
      <alignment horizontal="left" vertical="center"/>
    </xf>
    <xf numFmtId="0" fontId="4" fillId="0" borderId="5" xfId="0" applyFont="1" applyFill="1" applyBorder="1" applyAlignment="1">
      <alignment horizontal="left" vertical="center"/>
    </xf>
    <xf numFmtId="0" fontId="4" fillId="0" borderId="5" xfId="0" applyFont="1" applyFill="1" applyBorder="1" applyAlignment="1">
      <alignment horizontal="center" vertical="center"/>
    </xf>
    <xf numFmtId="0" fontId="20" fillId="0" borderId="5" xfId="0" applyFont="1" applyFill="1" applyBorder="1" applyAlignment="1">
      <alignment horizontal="center" vertical="center" wrapText="1"/>
    </xf>
    <xf numFmtId="0" fontId="20" fillId="0" borderId="5" xfId="0" applyFont="1" applyBorder="1" applyAlignment="1">
      <alignment horizontal="center" vertical="center"/>
    </xf>
    <xf numFmtId="10" fontId="4" fillId="0" borderId="5" xfId="0" applyNumberFormat="1" applyFont="1" applyFill="1" applyBorder="1" applyAlignment="1">
      <alignment horizontal="left" vertical="center"/>
    </xf>
    <xf numFmtId="0" fontId="4" fillId="0" borderId="5" xfId="0" quotePrefix="1" applyFont="1" applyFill="1" applyBorder="1" applyAlignment="1">
      <alignment horizontal="center" vertical="center"/>
    </xf>
    <xf numFmtId="3" fontId="24" fillId="0" borderId="5" xfId="6" applyNumberFormat="1" applyFont="1" applyFill="1" applyBorder="1" applyAlignment="1">
      <alignment horizontal="center" vertical="center" wrapText="1"/>
    </xf>
    <xf numFmtId="4" fontId="24" fillId="0" borderId="5" xfId="4" applyNumberFormat="1" applyFont="1" applyFill="1" applyBorder="1" applyAlignment="1">
      <alignment horizontal="center" vertical="center" wrapText="1"/>
    </xf>
    <xf numFmtId="4" fontId="24" fillId="0" borderId="5" xfId="4" applyNumberFormat="1" applyFont="1" applyBorder="1" applyAlignment="1">
      <alignment horizontal="center" vertical="center" wrapText="1"/>
    </xf>
    <xf numFmtId="0" fontId="21" fillId="0" borderId="0" xfId="0" applyFont="1" applyBorder="1" applyAlignment="1">
      <alignment horizontal="center" vertical="center"/>
    </xf>
    <xf numFmtId="0" fontId="20" fillId="11" borderId="5" xfId="0" applyFont="1" applyFill="1" applyBorder="1" applyAlignment="1">
      <alignment horizontal="center" vertical="center"/>
    </xf>
    <xf numFmtId="43" fontId="43" fillId="0" borderId="0" xfId="4" applyFont="1">
      <alignment vertical="center"/>
    </xf>
    <xf numFmtId="0" fontId="4" fillId="0" borderId="5" xfId="0" applyFont="1" applyFill="1" applyBorder="1" applyAlignment="1">
      <alignment horizontal="center" vertical="center"/>
    </xf>
    <xf numFmtId="0" fontId="0" fillId="5" borderId="5" xfId="0" applyFill="1" applyBorder="1" applyAlignment="1">
      <alignment horizontal="center" vertical="center"/>
    </xf>
    <xf numFmtId="0" fontId="44" fillId="0" borderId="5" xfId="0" applyFont="1" applyFill="1" applyBorder="1" applyAlignment="1">
      <alignment horizontal="center" vertical="center"/>
    </xf>
    <xf numFmtId="0" fontId="0" fillId="0" borderId="5" xfId="0" applyFill="1" applyBorder="1" applyAlignment="1">
      <alignment horizontal="center" vertical="center"/>
    </xf>
    <xf numFmtId="43" fontId="4" fillId="0" borderId="0" xfId="4" applyFont="1" applyFill="1" applyBorder="1">
      <alignment vertical="center"/>
    </xf>
    <xf numFmtId="0" fontId="20" fillId="0" borderId="5" xfId="0" applyFont="1" applyFill="1" applyBorder="1" applyAlignment="1">
      <alignment horizontal="left" vertical="center" wrapText="1"/>
    </xf>
    <xf numFmtId="0" fontId="5" fillId="0" borderId="0" xfId="0" applyFont="1" applyBorder="1" applyAlignment="1">
      <alignment horizontal="left" vertical="center"/>
    </xf>
    <xf numFmtId="0" fontId="4" fillId="0" borderId="21" xfId="0" applyFont="1" applyBorder="1" applyAlignment="1">
      <alignment horizontal="center" vertical="center"/>
    </xf>
    <xf numFmtId="0" fontId="4" fillId="0" borderId="21" xfId="0" applyFont="1" applyFill="1" applyBorder="1" applyAlignment="1">
      <alignment horizontal="center" vertical="center"/>
    </xf>
    <xf numFmtId="0" fontId="20" fillId="0" borderId="21" xfId="0" applyFont="1" applyBorder="1" applyAlignment="1">
      <alignment vertical="center"/>
    </xf>
    <xf numFmtId="0" fontId="20" fillId="0" borderId="21" xfId="0" applyFont="1" applyBorder="1" applyAlignment="1">
      <alignment horizontal="right" vertical="center"/>
    </xf>
    <xf numFmtId="182" fontId="6" fillId="0" borderId="5" xfId="0" applyNumberFormat="1" applyFont="1" applyFill="1" applyBorder="1" applyAlignment="1">
      <alignment vertical="center" wrapText="1"/>
    </xf>
    <xf numFmtId="182" fontId="6" fillId="0" borderId="5" xfId="0" applyNumberFormat="1" applyFont="1" applyFill="1" applyBorder="1">
      <alignment vertical="center"/>
    </xf>
    <xf numFmtId="182" fontId="6" fillId="0" borderId="5" xfId="0" applyNumberFormat="1" applyFont="1" applyFill="1" applyBorder="1" applyAlignment="1">
      <alignment horizontal="center" vertical="center"/>
    </xf>
    <xf numFmtId="182" fontId="6" fillId="0" borderId="0" xfId="0" applyNumberFormat="1" applyFont="1" applyFill="1">
      <alignment vertical="center"/>
    </xf>
    <xf numFmtId="0" fontId="4" fillId="0" borderId="0" xfId="0" applyFont="1" applyBorder="1" applyAlignment="1">
      <alignment horizontal="left" vertical="center"/>
    </xf>
    <xf numFmtId="182" fontId="4" fillId="0" borderId="0" xfId="0" applyNumberFormat="1" applyFont="1" applyFill="1">
      <alignment vertical="center"/>
    </xf>
    <xf numFmtId="43" fontId="51" fillId="0" borderId="0" xfId="4" applyFont="1" applyAlignment="1">
      <alignment horizontal="left" vertical="center"/>
    </xf>
    <xf numFmtId="0" fontId="51" fillId="0" borderId="0" xfId="0" applyFont="1" applyAlignment="1">
      <alignment horizontal="right" vertical="center"/>
    </xf>
    <xf numFmtId="0" fontId="51" fillId="0" borderId="0" xfId="0" applyFont="1" applyAlignment="1">
      <alignment horizontal="center" vertical="center"/>
    </xf>
    <xf numFmtId="0" fontId="7" fillId="2" borderId="24" xfId="0" applyFont="1" applyFill="1" applyBorder="1" applyAlignment="1">
      <alignment horizontal="center" vertical="center"/>
    </xf>
    <xf numFmtId="0" fontId="7" fillId="2" borderId="35" xfId="0" applyFont="1" applyFill="1" applyBorder="1" applyAlignment="1">
      <alignment horizontal="center" vertical="center"/>
    </xf>
    <xf numFmtId="0" fontId="4" fillId="0" borderId="21" xfId="0" applyFont="1" applyBorder="1" applyAlignment="1">
      <alignment horizontal="left" vertical="center"/>
    </xf>
    <xf numFmtId="43" fontId="4" fillId="0" borderId="5" xfId="4" applyFont="1" applyFill="1" applyBorder="1">
      <alignment vertical="center"/>
    </xf>
    <xf numFmtId="182" fontId="6" fillId="0" borderId="0" xfId="0" applyNumberFormat="1" applyFont="1" applyFill="1" applyBorder="1">
      <alignment vertical="center"/>
    </xf>
    <xf numFmtId="0" fontId="4" fillId="0" borderId="0" xfId="0" applyFont="1" applyFill="1" applyAlignment="1">
      <alignment horizontal="left" vertical="center"/>
    </xf>
    <xf numFmtId="43" fontId="51" fillId="0" borderId="0" xfId="4" applyFont="1" applyAlignment="1">
      <alignment horizontal="right" vertical="center"/>
    </xf>
    <xf numFmtId="0" fontId="5" fillId="0" borderId="0" xfId="0" applyFont="1" applyFill="1" applyAlignment="1">
      <alignment horizontal="left" vertical="center"/>
    </xf>
    <xf numFmtId="0" fontId="4" fillId="0" borderId="5" xfId="0" applyFont="1" applyFill="1" applyBorder="1" applyAlignment="1">
      <alignment horizontal="left" vertical="center" wrapText="1" indent="1"/>
    </xf>
    <xf numFmtId="43" fontId="4" fillId="0" borderId="21" xfId="4" applyFont="1" applyBorder="1" applyAlignment="1">
      <alignment horizontal="center" vertical="center"/>
    </xf>
    <xf numFmtId="188" fontId="4" fillId="0" borderId="5" xfId="0" applyNumberFormat="1" applyFont="1" applyFill="1" applyBorder="1" applyAlignment="1">
      <alignment horizontal="right" vertical="center"/>
    </xf>
    <xf numFmtId="0" fontId="6" fillId="0" borderId="6" xfId="0" applyFont="1" applyFill="1" applyBorder="1" applyAlignment="1">
      <alignment horizontal="left" vertical="center"/>
    </xf>
    <xf numFmtId="185" fontId="4" fillId="0" borderId="6" xfId="0" applyNumberFormat="1" applyFont="1" applyFill="1" applyBorder="1" applyAlignment="1">
      <alignment horizontal="left" vertical="center"/>
    </xf>
    <xf numFmtId="182" fontId="6" fillId="0" borderId="6" xfId="0" applyNumberFormat="1" applyFont="1" applyFill="1" applyBorder="1" applyAlignment="1">
      <alignment horizontal="left" vertical="center"/>
    </xf>
    <xf numFmtId="182" fontId="6" fillId="0" borderId="21" xfId="0" applyNumberFormat="1" applyFont="1" applyFill="1" applyBorder="1" applyAlignment="1">
      <alignment vertical="center" wrapText="1"/>
    </xf>
    <xf numFmtId="182" fontId="6" fillId="0" borderId="0" xfId="0" applyNumberFormat="1" applyFont="1" applyFill="1" applyBorder="1" applyAlignment="1">
      <alignment horizontal="left" vertical="center"/>
    </xf>
    <xf numFmtId="182" fontId="6" fillId="0" borderId="0" xfId="0" quotePrefix="1" applyNumberFormat="1" applyFont="1" applyFill="1" applyBorder="1" applyAlignment="1">
      <alignment horizontal="center" vertical="center"/>
    </xf>
    <xf numFmtId="9" fontId="4" fillId="3" borderId="21" xfId="0" applyNumberFormat="1" applyFont="1" applyFill="1" applyBorder="1" applyAlignment="1">
      <alignment horizontal="right" vertical="center"/>
    </xf>
    <xf numFmtId="10" fontId="24" fillId="0" borderId="5" xfId="6" applyNumberFormat="1" applyFont="1" applyFill="1" applyBorder="1" applyAlignment="1">
      <alignment horizontal="center" vertical="center" wrapText="1"/>
    </xf>
    <xf numFmtId="0" fontId="4" fillId="0" borderId="0" xfId="1" applyFont="1">
      <alignment vertical="center"/>
    </xf>
    <xf numFmtId="0" fontId="1" fillId="0" borderId="0" xfId="1">
      <alignment vertical="center"/>
    </xf>
    <xf numFmtId="0" fontId="4" fillId="3" borderId="3" xfId="1" applyFont="1" applyFill="1" applyBorder="1" applyAlignment="1"/>
    <xf numFmtId="0" fontId="54" fillId="0" borderId="0" xfId="1" applyFont="1" applyAlignment="1"/>
    <xf numFmtId="0" fontId="4" fillId="3" borderId="1" xfId="1" applyFont="1" applyFill="1" applyBorder="1" applyAlignment="1">
      <alignment wrapText="1"/>
    </xf>
    <xf numFmtId="0" fontId="4" fillId="16" borderId="2" xfId="1" applyFont="1" applyFill="1" applyBorder="1" applyAlignment="1">
      <alignment wrapText="1"/>
    </xf>
    <xf numFmtId="0" fontId="55" fillId="16" borderId="2" xfId="1" applyFont="1" applyFill="1" applyBorder="1" applyAlignment="1">
      <alignment horizontal="left" vertical="center" wrapText="1"/>
    </xf>
    <xf numFmtId="0" fontId="4" fillId="16" borderId="2" xfId="1" quotePrefix="1" applyFont="1" applyFill="1" applyBorder="1" applyAlignment="1">
      <alignment horizontal="left" vertical="center" wrapText="1"/>
    </xf>
    <xf numFmtId="31" fontId="55" fillId="16" borderId="2" xfId="1" applyNumberFormat="1" applyFont="1" applyFill="1" applyBorder="1" applyAlignment="1">
      <alignment horizontal="left" vertical="center" wrapText="1"/>
    </xf>
    <xf numFmtId="0" fontId="4" fillId="16" borderId="4" xfId="1" applyFont="1" applyFill="1" applyBorder="1" applyAlignment="1">
      <alignment wrapText="1"/>
    </xf>
    <xf numFmtId="0" fontId="4" fillId="16" borderId="2" xfId="1" applyFont="1" applyFill="1" applyBorder="1" applyAlignment="1">
      <alignment horizontal="left" wrapText="1"/>
    </xf>
    <xf numFmtId="31" fontId="4" fillId="16" borderId="2" xfId="1" applyNumberFormat="1" applyFont="1" applyFill="1" applyBorder="1" applyAlignment="1">
      <alignment horizontal="left" wrapText="1"/>
    </xf>
    <xf numFmtId="0" fontId="4" fillId="16" borderId="4" xfId="1" applyFont="1" applyFill="1" applyBorder="1" applyAlignment="1">
      <alignment horizontal="left" wrapText="1"/>
    </xf>
    <xf numFmtId="0" fontId="4" fillId="0" borderId="5" xfId="0" applyFont="1" applyFill="1" applyBorder="1" applyAlignment="1">
      <alignment horizontal="left" vertical="center"/>
    </xf>
    <xf numFmtId="0" fontId="4" fillId="16" borderId="2" xfId="1" applyFont="1" applyFill="1" applyBorder="1" applyAlignment="1">
      <alignment horizontal="left" vertical="center" wrapText="1"/>
    </xf>
    <xf numFmtId="14" fontId="4" fillId="16" borderId="2" xfId="1" applyNumberFormat="1" applyFont="1" applyFill="1" applyBorder="1" applyAlignment="1">
      <alignment horizontal="left" wrapText="1"/>
    </xf>
    <xf numFmtId="0" fontId="8" fillId="0" borderId="0" xfId="0" applyFont="1" applyFill="1" applyBorder="1" applyAlignment="1">
      <alignment horizontal="center" vertical="top"/>
    </xf>
    <xf numFmtId="0" fontId="25" fillId="0" borderId="0" xfId="0" applyFont="1" applyFill="1" applyBorder="1" applyAlignment="1">
      <alignment horizontal="center" vertical="top"/>
    </xf>
    <xf numFmtId="0" fontId="8" fillId="0" borderId="0" xfId="0" applyFont="1" applyFill="1" applyBorder="1" applyAlignment="1">
      <alignment horizontal="left" vertical="top"/>
    </xf>
    <xf numFmtId="0" fontId="48"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5" fillId="0" borderId="0" xfId="0" applyFont="1" applyFill="1" applyAlignment="1">
      <alignment vertical="top"/>
    </xf>
    <xf numFmtId="0" fontId="4" fillId="0" borderId="0" xfId="0" applyFont="1" applyFill="1" applyAlignment="1">
      <alignment vertical="top"/>
    </xf>
    <xf numFmtId="43" fontId="5" fillId="0" borderId="0" xfId="4" applyFont="1" applyAlignment="1">
      <alignment vertical="top"/>
    </xf>
    <xf numFmtId="0" fontId="5" fillId="0" borderId="0" xfId="0" applyFont="1" applyFill="1" applyAlignment="1">
      <alignment vertical="top" wrapText="1"/>
    </xf>
    <xf numFmtId="0" fontId="8" fillId="0" borderId="36" xfId="0" applyFont="1" applyFill="1" applyBorder="1" applyAlignment="1">
      <alignment horizontal="center" vertical="top"/>
    </xf>
    <xf numFmtId="0" fontId="5" fillId="0" borderId="0" xfId="0" applyFont="1" applyAlignment="1">
      <alignment horizontal="right" vertical="top"/>
    </xf>
    <xf numFmtId="0" fontId="5" fillId="0" borderId="5" xfId="0" applyFont="1" applyFill="1" applyBorder="1" applyAlignment="1">
      <alignment horizontal="center" vertical="top"/>
    </xf>
    <xf numFmtId="9" fontId="4" fillId="0" borderId="5" xfId="0" applyNumberFormat="1" applyFont="1" applyFill="1" applyBorder="1" applyAlignment="1">
      <alignment horizontal="center" vertical="top"/>
    </xf>
    <xf numFmtId="3" fontId="4" fillId="0" borderId="5" xfId="0" applyNumberFormat="1" applyFont="1" applyFill="1" applyBorder="1" applyAlignment="1">
      <alignment horizontal="center" vertical="top"/>
    </xf>
    <xf numFmtId="9" fontId="4" fillId="0" borderId="5" xfId="0" applyNumberFormat="1" applyFont="1" applyFill="1" applyBorder="1" applyAlignment="1">
      <alignment horizontal="right" vertical="top"/>
    </xf>
    <xf numFmtId="43" fontId="4" fillId="0" borderId="0" xfId="4" applyFont="1" applyAlignment="1">
      <alignment vertical="top"/>
    </xf>
    <xf numFmtId="0" fontId="4" fillId="0" borderId="5" xfId="0" applyFont="1" applyFill="1" applyBorder="1" applyAlignment="1">
      <alignment horizontal="left" vertical="top" wrapText="1"/>
    </xf>
    <xf numFmtId="0" fontId="5" fillId="0" borderId="5" xfId="0" applyFont="1" applyBorder="1" applyAlignment="1">
      <alignment horizontal="left" vertical="top"/>
    </xf>
    <xf numFmtId="0" fontId="5" fillId="0" borderId="5" xfId="0" applyFont="1" applyBorder="1" applyAlignment="1">
      <alignment horizontal="center" vertical="top"/>
    </xf>
    <xf numFmtId="0" fontId="4" fillId="0" borderId="5" xfId="0" applyFont="1" applyFill="1" applyBorder="1" applyAlignment="1">
      <alignment horizontal="right" vertical="top"/>
    </xf>
    <xf numFmtId="0" fontId="6" fillId="0" borderId="5" xfId="0" applyFont="1" applyFill="1" applyBorder="1" applyAlignment="1">
      <alignment vertical="top" wrapText="1"/>
    </xf>
    <xf numFmtId="0" fontId="4" fillId="0" borderId="5" xfId="0" applyFont="1" applyFill="1" applyBorder="1" applyAlignment="1">
      <alignment horizontal="left" vertical="top"/>
    </xf>
    <xf numFmtId="3" fontId="4" fillId="0" borderId="5" xfId="0" quotePrefix="1" applyNumberFormat="1" applyFont="1" applyFill="1" applyBorder="1" applyAlignment="1">
      <alignment horizontal="center" vertical="top"/>
    </xf>
    <xf numFmtId="187" fontId="4" fillId="0" borderId="5" xfId="0" applyNumberFormat="1" applyFont="1" applyFill="1" applyBorder="1" applyAlignment="1">
      <alignment horizontal="center" vertical="top"/>
    </xf>
    <xf numFmtId="43" fontId="4" fillId="0" borderId="0" xfId="4" applyFont="1" applyBorder="1" applyAlignment="1">
      <alignment vertical="top"/>
    </xf>
    <xf numFmtId="0" fontId="4" fillId="0" borderId="5" xfId="0" applyFont="1" applyBorder="1" applyAlignment="1">
      <alignment horizontal="left" vertical="top"/>
    </xf>
    <xf numFmtId="0" fontId="5" fillId="0" borderId="5" xfId="0" applyFont="1" applyFill="1" applyBorder="1" applyAlignment="1">
      <alignment horizontal="left" vertical="top"/>
    </xf>
    <xf numFmtId="0" fontId="4" fillId="0" borderId="5" xfId="0" applyFont="1" applyBorder="1" applyAlignment="1">
      <alignment horizontal="center" vertical="top"/>
    </xf>
    <xf numFmtId="0" fontId="36" fillId="0" borderId="5" xfId="6" applyFont="1" applyFill="1" applyBorder="1" applyAlignment="1">
      <alignment horizontal="left" vertical="top"/>
    </xf>
    <xf numFmtId="3" fontId="4" fillId="0" borderId="5" xfId="0" applyNumberFormat="1" applyFont="1" applyFill="1" applyBorder="1" applyAlignment="1">
      <alignment horizontal="left" vertical="top"/>
    </xf>
    <xf numFmtId="0" fontId="4" fillId="0" borderId="5" xfId="0" applyFont="1" applyBorder="1" applyAlignment="1">
      <alignment horizontal="right" vertical="top"/>
    </xf>
    <xf numFmtId="3" fontId="4" fillId="0" borderId="5" xfId="4" applyNumberFormat="1" applyFont="1" applyFill="1" applyBorder="1" applyAlignment="1">
      <alignment horizontal="center" vertical="top"/>
    </xf>
    <xf numFmtId="0" fontId="50" fillId="13" borderId="5" xfId="0" applyFont="1" applyFill="1" applyBorder="1" applyAlignment="1">
      <alignment horizontal="center" vertical="top"/>
    </xf>
    <xf numFmtId="0" fontId="4" fillId="0" borderId="0" xfId="0" applyFont="1" applyFill="1" applyBorder="1" applyAlignment="1">
      <alignment vertical="top"/>
    </xf>
    <xf numFmtId="182" fontId="6" fillId="0" borderId="5" xfId="0" applyNumberFormat="1" applyFont="1" applyFill="1" applyBorder="1" applyAlignment="1">
      <alignment horizontal="center" vertical="top"/>
    </xf>
    <xf numFmtId="182" fontId="6" fillId="0" borderId="0" xfId="0" applyNumberFormat="1" applyFont="1" applyFill="1" applyBorder="1" applyAlignment="1">
      <alignment horizontal="center" vertical="top"/>
    </xf>
    <xf numFmtId="182" fontId="6" fillId="0" borderId="0" xfId="0" applyNumberFormat="1" applyFont="1" applyFill="1" applyAlignment="1">
      <alignment vertical="top"/>
    </xf>
    <xf numFmtId="0" fontId="4" fillId="0" borderId="0" xfId="0" applyFont="1" applyFill="1" applyAlignment="1">
      <alignment vertical="top" wrapText="1"/>
    </xf>
    <xf numFmtId="0" fontId="4" fillId="0" borderId="0" xfId="0" applyFont="1" applyAlignment="1">
      <alignment horizontal="right" vertical="top"/>
    </xf>
    <xf numFmtId="0" fontId="4" fillId="0" borderId="0" xfId="0" applyFont="1" applyAlignment="1">
      <alignment horizontal="left" vertical="top"/>
    </xf>
    <xf numFmtId="0" fontId="4" fillId="0" borderId="0" xfId="0" applyFont="1" applyAlignment="1">
      <alignment horizontal="center" vertical="top"/>
    </xf>
    <xf numFmtId="182" fontId="4" fillId="0" borderId="0" xfId="0" applyNumberFormat="1" applyFont="1" applyAlignment="1">
      <alignment vertical="top"/>
    </xf>
    <xf numFmtId="182" fontId="4" fillId="0" borderId="0" xfId="0" applyNumberFormat="1" applyFont="1" applyFill="1" applyAlignment="1">
      <alignment vertical="top"/>
    </xf>
    <xf numFmtId="43" fontId="4" fillId="0" borderId="0" xfId="4" applyFont="1" applyAlignment="1">
      <alignment horizontal="right" vertical="top"/>
    </xf>
    <xf numFmtId="43" fontId="4" fillId="0" borderId="0" xfId="4" applyFont="1" applyFill="1" applyAlignment="1">
      <alignment vertical="top"/>
    </xf>
    <xf numFmtId="0" fontId="5" fillId="0" borderId="0" xfId="0" applyFont="1" applyAlignment="1">
      <alignment horizontal="left" vertical="top"/>
    </xf>
    <xf numFmtId="0" fontId="5" fillId="0" borderId="0" xfId="0" applyFont="1" applyAlignment="1">
      <alignment horizontal="center" vertical="top"/>
    </xf>
    <xf numFmtId="43" fontId="5" fillId="0" borderId="0" xfId="4" applyFont="1" applyFill="1" applyAlignment="1">
      <alignment vertical="top"/>
    </xf>
    <xf numFmtId="0" fontId="2" fillId="0" borderId="7" xfId="0" applyFont="1" applyBorder="1" applyAlignment="1">
      <alignment horizontal="center" vertical="top"/>
    </xf>
    <xf numFmtId="0" fontId="20" fillId="0" borderId="21" xfId="0" applyFont="1" applyBorder="1" applyAlignment="1">
      <alignment horizontal="left" vertical="top" wrapText="1"/>
    </xf>
    <xf numFmtId="0" fontId="20" fillId="0" borderId="21" xfId="0" applyFont="1" applyFill="1" applyBorder="1" applyAlignment="1">
      <alignment horizontal="left" vertical="top" wrapText="1"/>
    </xf>
    <xf numFmtId="0" fontId="20" fillId="0" borderId="23" xfId="0" applyFont="1" applyBorder="1" applyAlignment="1">
      <alignment horizontal="left" vertical="top" wrapText="1"/>
    </xf>
    <xf numFmtId="0" fontId="4" fillId="0" borderId="5" xfId="0" applyFont="1" applyBorder="1" applyAlignment="1">
      <alignment horizontal="left" vertical="top" wrapText="1"/>
    </xf>
    <xf numFmtId="0" fontId="0" fillId="0" borderId="0" xfId="0" applyAlignment="1">
      <alignment vertical="top"/>
    </xf>
    <xf numFmtId="0" fontId="8" fillId="0" borderId="25" xfId="0" applyFont="1" applyFill="1" applyBorder="1" applyAlignment="1">
      <alignment horizontal="center" vertical="top"/>
    </xf>
    <xf numFmtId="0" fontId="6" fillId="0" borderId="5" xfId="0" applyFont="1" applyBorder="1" applyAlignment="1">
      <alignment vertical="top"/>
    </xf>
    <xf numFmtId="0" fontId="39" fillId="0" borderId="0" xfId="0" applyFont="1" applyFill="1" applyAlignment="1">
      <alignment horizontal="left" vertical="center"/>
    </xf>
    <xf numFmtId="0" fontId="39" fillId="0" borderId="0" xfId="0" applyFont="1" applyFill="1" applyAlignment="1">
      <alignment horizontal="right" vertical="center"/>
    </xf>
    <xf numFmtId="0" fontId="39" fillId="0" borderId="0" xfId="0" applyFont="1" applyFill="1" applyAlignment="1">
      <alignment horizontal="center" vertical="center"/>
    </xf>
    <xf numFmtId="0" fontId="39" fillId="0" borderId="0" xfId="0" applyFont="1" applyAlignment="1">
      <alignment horizontal="right" vertical="center"/>
    </xf>
    <xf numFmtId="43" fontId="4" fillId="0" borderId="0" xfId="4" applyFont="1" applyAlignment="1">
      <alignment horizontal="center" vertical="top"/>
    </xf>
    <xf numFmtId="182" fontId="4" fillId="0" borderId="0" xfId="0" applyNumberFormat="1" applyFont="1" applyAlignment="1">
      <alignment horizontal="center" vertical="top"/>
    </xf>
    <xf numFmtId="0" fontId="5" fillId="0" borderId="0" xfId="0" applyFont="1" applyFill="1" applyAlignment="1">
      <alignment horizontal="center" vertical="top"/>
    </xf>
    <xf numFmtId="182" fontId="4" fillId="0" borderId="0" xfId="0" applyNumberFormat="1" applyFont="1" applyFill="1" applyAlignment="1">
      <alignment horizontal="center" vertical="top"/>
    </xf>
    <xf numFmtId="0" fontId="4" fillId="0" borderId="0" xfId="0" applyFont="1" applyFill="1" applyAlignment="1">
      <alignment horizontal="center" vertical="top"/>
    </xf>
    <xf numFmtId="0" fontId="57" fillId="0" borderId="38" xfId="0" applyFont="1" applyBorder="1" applyAlignment="1">
      <alignment horizontal="left" vertical="center"/>
    </xf>
    <xf numFmtId="0" fontId="57" fillId="0" borderId="39" xfId="0" applyFont="1" applyBorder="1" applyAlignment="1">
      <alignment horizontal="left" vertical="center"/>
    </xf>
    <xf numFmtId="0" fontId="57" fillId="0" borderId="40" xfId="0" applyFont="1" applyBorder="1" applyAlignment="1">
      <alignment horizontal="left" vertical="center"/>
    </xf>
    <xf numFmtId="0" fontId="57" fillId="0" borderId="41" xfId="0" applyFont="1" applyBorder="1" applyAlignment="1">
      <alignment horizontal="left" vertical="center"/>
    </xf>
    <xf numFmtId="0" fontId="57" fillId="0" borderId="40" xfId="0" applyFont="1" applyBorder="1" applyAlignment="1">
      <alignment horizontal="center" vertical="center"/>
    </xf>
    <xf numFmtId="0" fontId="56" fillId="0" borderId="0" xfId="0" applyFont="1" applyAlignment="1">
      <alignment horizontal="justify" vertical="center"/>
    </xf>
    <xf numFmtId="0" fontId="59" fillId="0" borderId="0" xfId="0" applyFont="1" applyAlignment="1">
      <alignment horizontal="justify" vertical="center"/>
    </xf>
    <xf numFmtId="43" fontId="4" fillId="0" borderId="5" xfId="4" applyFont="1" applyFill="1" applyBorder="1" applyAlignment="1">
      <alignment horizontal="right" vertical="center"/>
    </xf>
    <xf numFmtId="10" fontId="4" fillId="0" borderId="5" xfId="0" applyNumberFormat="1" applyFont="1" applyFill="1" applyBorder="1" applyAlignment="1">
      <alignment horizontal="right" vertical="top"/>
    </xf>
    <xf numFmtId="0" fontId="4" fillId="9" borderId="5" xfId="0" applyFont="1" applyFill="1" applyBorder="1" applyAlignment="1">
      <alignment horizontal="center" vertical="top"/>
    </xf>
    <xf numFmtId="0" fontId="4" fillId="0" borderId="5" xfId="0" applyFont="1" applyFill="1" applyBorder="1" applyAlignment="1">
      <alignment horizontal="center" vertical="top"/>
    </xf>
    <xf numFmtId="0" fontId="4" fillId="0" borderId="5" xfId="0" applyFont="1" applyFill="1" applyBorder="1" applyAlignment="1">
      <alignment horizontal="left" vertical="center"/>
    </xf>
    <xf numFmtId="0" fontId="4" fillId="0" borderId="5" xfId="0" applyFont="1" applyFill="1" applyBorder="1" applyAlignment="1">
      <alignment horizontal="center" vertical="center"/>
    </xf>
    <xf numFmtId="0" fontId="4" fillId="0" borderId="5" xfId="0" applyFont="1" applyFill="1" applyBorder="1" applyAlignment="1">
      <alignment horizontal="right" vertical="center"/>
    </xf>
    <xf numFmtId="0" fontId="4" fillId="0" borderId="5" xfId="0" applyFont="1" applyFill="1" applyBorder="1" applyAlignment="1">
      <alignment horizontal="left" vertical="center"/>
    </xf>
    <xf numFmtId="0" fontId="4" fillId="9" borderId="5" xfId="0" applyFont="1" applyFill="1" applyBorder="1" applyAlignment="1">
      <alignment horizontal="center" vertical="center"/>
    </xf>
    <xf numFmtId="0" fontId="20" fillId="0" borderId="5" xfId="0" applyFont="1" applyFill="1" applyBorder="1" applyAlignment="1">
      <alignment horizontal="center" vertical="center" wrapText="1"/>
    </xf>
    <xf numFmtId="0" fontId="20" fillId="0" borderId="22"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5" xfId="0" applyFont="1" applyBorder="1" applyAlignment="1">
      <alignment horizontal="center" vertical="center" wrapText="1"/>
    </xf>
    <xf numFmtId="186" fontId="5" fillId="0" borderId="0" xfId="4" applyNumberFormat="1" applyFont="1" applyFill="1">
      <alignment vertical="center"/>
    </xf>
    <xf numFmtId="182" fontId="6" fillId="0" borderId="12" xfId="0" applyNumberFormat="1" applyFont="1" applyFill="1" applyBorder="1" applyAlignment="1">
      <alignment vertical="top"/>
    </xf>
    <xf numFmtId="0" fontId="20" fillId="0" borderId="5" xfId="0" applyFont="1" applyFill="1" applyBorder="1" applyAlignment="1">
      <alignment horizontal="right" vertical="top"/>
    </xf>
    <xf numFmtId="0" fontId="20" fillId="0" borderId="5" xfId="0" applyFont="1" applyFill="1" applyBorder="1" applyAlignment="1">
      <alignment horizontal="left" vertical="top"/>
    </xf>
    <xf numFmtId="0" fontId="20" fillId="0" borderId="5" xfId="0" applyFont="1" applyFill="1" applyBorder="1" applyAlignment="1">
      <alignment vertical="top"/>
    </xf>
    <xf numFmtId="0" fontId="46" fillId="0" borderId="5" xfId="0" applyFont="1" applyFill="1" applyBorder="1" applyAlignment="1">
      <alignment horizontal="left" vertical="center"/>
    </xf>
    <xf numFmtId="185" fontId="4" fillId="0" borderId="5" xfId="0" applyNumberFormat="1" applyFont="1" applyFill="1" applyBorder="1" applyAlignment="1">
      <alignment horizontal="left" vertical="center"/>
    </xf>
    <xf numFmtId="0" fontId="0" fillId="0" borderId="5" xfId="0" applyBorder="1">
      <alignment vertical="center"/>
    </xf>
    <xf numFmtId="0" fontId="0" fillId="12" borderId="5" xfId="0" applyFill="1" applyBorder="1">
      <alignment vertical="center"/>
    </xf>
    <xf numFmtId="0" fontId="0" fillId="17" borderId="5" xfId="0" applyFill="1" applyBorder="1" applyAlignment="1">
      <alignment horizontal="center" vertical="center"/>
    </xf>
    <xf numFmtId="0" fontId="0" fillId="17" borderId="5" xfId="0" applyFill="1" applyBorder="1">
      <alignment vertical="center"/>
    </xf>
    <xf numFmtId="0" fontId="0" fillId="12" borderId="5" xfId="0" applyFill="1" applyBorder="1" applyAlignment="1">
      <alignment horizontal="center" vertical="center"/>
    </xf>
    <xf numFmtId="0" fontId="0" fillId="18" borderId="5" xfId="0" applyFill="1" applyBorder="1">
      <alignment vertical="center"/>
    </xf>
    <xf numFmtId="43" fontId="0" fillId="18" borderId="5" xfId="4" applyFont="1" applyFill="1" applyBorder="1">
      <alignment vertical="center"/>
    </xf>
    <xf numFmtId="43" fontId="0" fillId="12" borderId="5" xfId="4" applyFont="1" applyFill="1" applyBorder="1">
      <alignment vertical="center"/>
    </xf>
    <xf numFmtId="43" fontId="11" fillId="0" borderId="5" xfId="4" applyFont="1" applyFill="1" applyBorder="1" applyAlignment="1">
      <alignment horizontal="center" vertical="center"/>
    </xf>
    <xf numFmtId="43" fontId="11" fillId="0" borderId="12" xfId="4" applyFont="1" applyFill="1" applyBorder="1" applyAlignment="1">
      <alignment horizontal="center" vertical="center"/>
    </xf>
    <xf numFmtId="43" fontId="11" fillId="0" borderId="26" xfId="4" applyFont="1" applyFill="1" applyBorder="1" applyAlignment="1">
      <alignment horizontal="center" vertical="center"/>
    </xf>
    <xf numFmtId="43" fontId="11" fillId="0" borderId="5" xfId="4" applyFont="1" applyBorder="1" applyAlignment="1">
      <alignment horizontal="center" vertical="center"/>
    </xf>
    <xf numFmtId="43" fontId="11" fillId="0" borderId="5" xfId="4" applyFont="1" applyBorder="1" applyAlignment="1">
      <alignment vertical="center"/>
    </xf>
    <xf numFmtId="43" fontId="11" fillId="0" borderId="12" xfId="4" applyFont="1" applyBorder="1" applyAlignment="1">
      <alignment horizontal="center" vertical="center"/>
    </xf>
    <xf numFmtId="0" fontId="34" fillId="0" borderId="0" xfId="0" applyFont="1" applyBorder="1" applyAlignment="1">
      <alignment horizontal="center" wrapText="1"/>
    </xf>
    <xf numFmtId="43" fontId="0" fillId="17" borderId="5" xfId="4" applyFont="1" applyFill="1" applyBorder="1">
      <alignment vertical="center"/>
    </xf>
    <xf numFmtId="9" fontId="0" fillId="0" borderId="0" xfId="0" applyNumberFormat="1">
      <alignment vertical="center"/>
    </xf>
    <xf numFmtId="43" fontId="0" fillId="18" borderId="5" xfId="4" applyFont="1" applyFill="1" applyBorder="1" applyAlignment="1">
      <alignment horizontal="center" vertical="center"/>
    </xf>
    <xf numFmtId="43" fontId="4" fillId="0" borderId="0" xfId="4" applyFont="1" applyBorder="1" applyAlignment="1">
      <alignment horizontal="left" vertical="center"/>
    </xf>
    <xf numFmtId="43" fontId="4" fillId="0" borderId="0" xfId="4" applyFont="1" applyAlignment="1">
      <alignment horizontal="left" vertical="top"/>
    </xf>
    <xf numFmtId="0" fontId="5" fillId="14" borderId="0" xfId="0" applyFont="1" applyFill="1">
      <alignment vertical="center"/>
    </xf>
    <xf numFmtId="0" fontId="4" fillId="14" borderId="0" xfId="0" applyFont="1" applyFill="1">
      <alignment vertical="center"/>
    </xf>
    <xf numFmtId="186" fontId="4" fillId="14" borderId="0" xfId="4" applyNumberFormat="1" applyFont="1" applyFill="1" applyAlignment="1">
      <alignment vertical="center"/>
    </xf>
    <xf numFmtId="182" fontId="6" fillId="14" borderId="0" xfId="0" applyNumberFormat="1" applyFont="1" applyFill="1">
      <alignment vertical="center"/>
    </xf>
    <xf numFmtId="43" fontId="60" fillId="0" borderId="0" xfId="4" applyFont="1" applyBorder="1" applyAlignment="1">
      <alignment horizontal="left" vertical="center"/>
    </xf>
    <xf numFmtId="43" fontId="60" fillId="0" borderId="0" xfId="4" applyFont="1" applyAlignment="1">
      <alignment horizontal="left" vertical="top"/>
    </xf>
    <xf numFmtId="0" fontId="60" fillId="0" borderId="0" xfId="0" applyFont="1" applyAlignment="1">
      <alignment horizontal="right" vertical="top"/>
    </xf>
    <xf numFmtId="0" fontId="60" fillId="0" borderId="0" xfId="0" applyFont="1" applyAlignment="1">
      <alignment horizontal="center" vertical="top"/>
    </xf>
    <xf numFmtId="43" fontId="60" fillId="0" borderId="0" xfId="4" applyFont="1" applyAlignment="1">
      <alignment vertical="top"/>
    </xf>
    <xf numFmtId="0" fontId="60" fillId="0" borderId="0" xfId="0" applyFont="1" applyAlignment="1">
      <alignment vertical="top"/>
    </xf>
    <xf numFmtId="43" fontId="60" fillId="0" borderId="0" xfId="4" applyFont="1" applyFill="1" applyAlignment="1">
      <alignment vertical="top"/>
    </xf>
    <xf numFmtId="43" fontId="60" fillId="0" borderId="0" xfId="4" applyFont="1">
      <alignment vertical="center"/>
    </xf>
    <xf numFmtId="43" fontId="4" fillId="0" borderId="5" xfId="4" applyFont="1" applyFill="1" applyBorder="1" applyAlignment="1">
      <alignment horizontal="center" vertical="center"/>
    </xf>
    <xf numFmtId="3" fontId="4" fillId="0" borderId="5" xfId="4" applyNumberFormat="1" applyFont="1" applyFill="1" applyBorder="1" applyAlignment="1">
      <alignment horizontal="right" vertical="center"/>
    </xf>
    <xf numFmtId="0" fontId="6" fillId="0" borderId="0" xfId="0" applyFont="1" applyAlignment="1">
      <alignment vertical="center" wrapText="1"/>
    </xf>
    <xf numFmtId="0" fontId="22" fillId="7" borderId="5" xfId="6" applyFont="1" applyFill="1" applyBorder="1" applyAlignment="1">
      <alignment horizontal="center" vertical="center" wrapText="1"/>
    </xf>
    <xf numFmtId="0" fontId="4" fillId="0" borderId="21" xfId="0" applyFont="1" applyBorder="1" applyAlignment="1">
      <alignment horizontal="right" vertical="center"/>
    </xf>
    <xf numFmtId="0" fontId="62" fillId="0" borderId="5" xfId="0" applyFont="1" applyFill="1" applyBorder="1" applyAlignment="1">
      <alignment vertical="center"/>
    </xf>
    <xf numFmtId="0" fontId="61" fillId="0" borderId="5" xfId="0" applyFont="1" applyFill="1" applyBorder="1" applyAlignment="1">
      <alignment vertical="center" wrapText="1"/>
    </xf>
    <xf numFmtId="0" fontId="65" fillId="0" borderId="5" xfId="0" applyFont="1" applyBorder="1" applyAlignment="1">
      <alignment horizontal="center" vertical="top"/>
    </xf>
    <xf numFmtId="43" fontId="31" fillId="0" borderId="0" xfId="4" applyNumberFormat="1" applyFont="1" applyBorder="1" applyAlignment="1">
      <alignment vertical="center"/>
    </xf>
    <xf numFmtId="0" fontId="35" fillId="16" borderId="0" xfId="0" applyFont="1" applyFill="1" applyBorder="1" applyAlignment="1">
      <alignment horizontal="center" vertical="center"/>
    </xf>
    <xf numFmtId="0" fontId="36" fillId="0" borderId="0" xfId="0" applyFont="1" applyFill="1" applyBorder="1" applyAlignment="1">
      <alignment horizontal="center" vertical="center" wrapText="1"/>
    </xf>
    <xf numFmtId="0" fontId="4" fillId="0" borderId="5" xfId="0" applyFont="1" applyFill="1" applyBorder="1" applyAlignment="1">
      <alignment horizontal="right" vertical="center"/>
    </xf>
    <xf numFmtId="0" fontId="36" fillId="6" borderId="5" xfId="0" applyFont="1" applyFill="1" applyBorder="1" applyAlignment="1">
      <alignment horizontal="center" vertical="center" wrapText="1"/>
    </xf>
    <xf numFmtId="0" fontId="64" fillId="0" borderId="0" xfId="0" applyFont="1">
      <alignment vertical="center"/>
    </xf>
    <xf numFmtId="0" fontId="63" fillId="0" borderId="0" xfId="0" applyFont="1" applyFill="1" applyAlignment="1">
      <alignment horizontal="right" vertical="center"/>
    </xf>
    <xf numFmtId="0" fontId="4" fillId="0" borderId="5" xfId="0" applyFont="1" applyFill="1" applyBorder="1" applyAlignment="1">
      <alignment horizontal="center" vertical="center"/>
    </xf>
    <xf numFmtId="0" fontId="4" fillId="3" borderId="5" xfId="0" applyFont="1" applyFill="1" applyBorder="1" applyAlignment="1">
      <alignment horizontal="left" vertical="center" wrapText="1"/>
    </xf>
    <xf numFmtId="0" fontId="4" fillId="0" borderId="5" xfId="0" applyFont="1" applyFill="1" applyBorder="1" applyAlignment="1">
      <alignment horizontal="right" vertical="center" wrapText="1"/>
    </xf>
    <xf numFmtId="0" fontId="8" fillId="0" borderId="0" xfId="0" applyFont="1" applyFill="1" applyBorder="1" applyAlignment="1">
      <alignment horizontal="center" vertical="center" wrapText="1"/>
    </xf>
    <xf numFmtId="0" fontId="4" fillId="0" borderId="5" xfId="0" applyFont="1" applyBorder="1" applyAlignment="1">
      <alignment horizontal="right" vertical="center" wrapText="1"/>
    </xf>
    <xf numFmtId="0" fontId="4" fillId="0" borderId="22" xfId="0" applyFont="1" applyBorder="1" applyAlignment="1">
      <alignment horizontal="right" vertical="center" wrapText="1"/>
    </xf>
    <xf numFmtId="3" fontId="4" fillId="0" borderId="5" xfId="0" applyNumberFormat="1" applyFont="1" applyBorder="1" applyAlignment="1">
      <alignment horizontal="right" vertical="center" wrapText="1"/>
    </xf>
    <xf numFmtId="0" fontId="6" fillId="0" borderId="5" xfId="0" applyFont="1" applyBorder="1" applyAlignment="1">
      <alignment horizontal="right" vertical="center" wrapText="1"/>
    </xf>
    <xf numFmtId="0" fontId="5" fillId="0" borderId="0" xfId="0" applyFont="1" applyAlignment="1">
      <alignment horizontal="right" vertical="center" wrapText="1"/>
    </xf>
    <xf numFmtId="0" fontId="5" fillId="0" borderId="0" xfId="0" applyFont="1" applyAlignment="1">
      <alignment vertical="center" wrapText="1"/>
    </xf>
    <xf numFmtId="0" fontId="4" fillId="0" borderId="5" xfId="0" applyFont="1" applyFill="1" applyBorder="1" applyAlignment="1">
      <alignment vertical="center" wrapText="1"/>
    </xf>
    <xf numFmtId="9" fontId="4" fillId="0" borderId="5" xfId="3" applyFont="1" applyFill="1" applyBorder="1" applyAlignment="1">
      <alignment horizontal="right" vertical="center" wrapText="1"/>
    </xf>
    <xf numFmtId="177" fontId="4" fillId="0" borderId="5" xfId="0" applyNumberFormat="1" applyFont="1" applyFill="1" applyBorder="1" applyAlignment="1">
      <alignment horizontal="right" vertical="center" wrapText="1"/>
    </xf>
    <xf numFmtId="0" fontId="4" fillId="0" borderId="5" xfId="0" applyFont="1" applyFill="1" applyBorder="1" applyAlignment="1">
      <alignment horizontal="left" vertical="center" wrapText="1"/>
    </xf>
    <xf numFmtId="0" fontId="4" fillId="0" borderId="21" xfId="0" applyFont="1" applyFill="1" applyBorder="1" applyAlignment="1">
      <alignment horizontal="right" vertical="center" wrapText="1"/>
    </xf>
    <xf numFmtId="0" fontId="4" fillId="0" borderId="21" xfId="0" applyFont="1" applyFill="1" applyBorder="1" applyAlignment="1">
      <alignment horizontal="left" vertical="center" wrapText="1"/>
    </xf>
    <xf numFmtId="178" fontId="4" fillId="0" borderId="21" xfId="0" applyNumberFormat="1" applyFont="1" applyFill="1" applyBorder="1" applyAlignment="1">
      <alignment horizontal="right" vertical="center" wrapText="1"/>
    </xf>
    <xf numFmtId="184" fontId="4" fillId="0" borderId="5" xfId="4" applyNumberFormat="1" applyFont="1" applyFill="1" applyBorder="1" applyAlignment="1">
      <alignment horizontal="right" vertical="center" wrapText="1"/>
    </xf>
    <xf numFmtId="0" fontId="29" fillId="0" borderId="7" xfId="0" applyFont="1" applyBorder="1" applyAlignment="1">
      <alignment vertical="center"/>
    </xf>
    <xf numFmtId="0" fontId="4" fillId="0" borderId="5" xfId="0" applyFont="1" applyFill="1" applyBorder="1" applyAlignment="1">
      <alignment horizontal="center" vertical="center"/>
    </xf>
    <xf numFmtId="177" fontId="4" fillId="0" borderId="5" xfId="0" applyNumberFormat="1" applyFont="1" applyFill="1" applyBorder="1" applyAlignment="1">
      <alignment horizontal="center" vertical="center"/>
    </xf>
    <xf numFmtId="0" fontId="20" fillId="0" borderId="5" xfId="0" applyFont="1" applyBorder="1" applyAlignment="1">
      <alignment horizontal="center" vertical="center"/>
    </xf>
    <xf numFmtId="0" fontId="20" fillId="5" borderId="5" xfId="0" applyFont="1" applyFill="1" applyBorder="1" applyAlignment="1">
      <alignment horizontal="center" vertical="center"/>
    </xf>
    <xf numFmtId="0" fontId="20" fillId="0" borderId="0" xfId="0" applyFont="1" applyFill="1" applyBorder="1" applyAlignment="1">
      <alignment horizontal="center" vertical="center"/>
    </xf>
    <xf numFmtId="0" fontId="52" fillId="0" borderId="5" xfId="0" applyFont="1" applyBorder="1" applyAlignment="1">
      <alignment horizontal="right" vertical="top"/>
    </xf>
    <xf numFmtId="0" fontId="52" fillId="0" borderId="5" xfId="0" applyFont="1" applyBorder="1" applyAlignment="1">
      <alignment horizontal="center" vertical="top"/>
    </xf>
    <xf numFmtId="0" fontId="57" fillId="9" borderId="40" xfId="0" applyFont="1" applyFill="1" applyBorder="1" applyAlignment="1">
      <alignment horizontal="left" vertical="center"/>
    </xf>
    <xf numFmtId="0" fontId="57" fillId="9" borderId="41" xfId="0" applyFont="1" applyFill="1" applyBorder="1" applyAlignment="1">
      <alignment horizontal="left" vertical="center"/>
    </xf>
    <xf numFmtId="0" fontId="0" fillId="9" borderId="0" xfId="0" applyFill="1">
      <alignment vertical="center"/>
    </xf>
    <xf numFmtId="0" fontId="6" fillId="0" borderId="1" xfId="0" applyFont="1" applyFill="1" applyBorder="1" applyAlignment="1">
      <alignment horizontal="left" vertical="center"/>
    </xf>
    <xf numFmtId="0" fontId="46" fillId="0" borderId="5" xfId="0" applyFont="1" applyFill="1" applyBorder="1">
      <alignment vertical="center"/>
    </xf>
    <xf numFmtId="0" fontId="25" fillId="0" borderId="5" xfId="0" applyFont="1" applyFill="1" applyBorder="1">
      <alignment vertical="center"/>
    </xf>
    <xf numFmtId="0" fontId="6" fillId="0" borderId="5" xfId="0" applyFont="1" applyFill="1" applyBorder="1" applyAlignment="1">
      <alignment horizontal="left" vertical="center" indent="1"/>
    </xf>
    <xf numFmtId="0" fontId="25" fillId="0" borderId="5" xfId="0" applyFont="1" applyFill="1" applyBorder="1" applyAlignment="1">
      <alignment horizontal="left" vertical="center" indent="1"/>
    </xf>
    <xf numFmtId="0" fontId="46" fillId="0" borderId="5" xfId="0" applyFont="1" applyFill="1" applyBorder="1" applyAlignment="1">
      <alignment horizontal="right" vertical="center"/>
    </xf>
    <xf numFmtId="0" fontId="46" fillId="0" borderId="5" xfId="0" applyFont="1" applyBorder="1">
      <alignment vertical="center"/>
    </xf>
    <xf numFmtId="0" fontId="46" fillId="0" borderId="22" xfId="0" applyFont="1" applyBorder="1">
      <alignment vertical="center"/>
    </xf>
    <xf numFmtId="0" fontId="46" fillId="0" borderId="5" xfId="0" applyFont="1" applyBorder="1" applyAlignment="1">
      <alignment horizontal="right" vertical="center"/>
    </xf>
    <xf numFmtId="3" fontId="46" fillId="0" borderId="5" xfId="0" applyNumberFormat="1" applyFont="1" applyBorder="1">
      <alignment vertical="center"/>
    </xf>
    <xf numFmtId="0" fontId="25" fillId="0" borderId="5" xfId="0" applyFont="1" applyBorder="1" applyAlignment="1">
      <alignment horizontal="right" vertical="center"/>
    </xf>
    <xf numFmtId="0" fontId="46" fillId="0" borderId="0" xfId="0" applyFont="1" applyAlignment="1">
      <alignment horizontal="right" vertical="center"/>
    </xf>
    <xf numFmtId="0" fontId="25" fillId="0" borderId="0" xfId="0" applyFont="1" applyBorder="1" applyAlignment="1">
      <alignment horizontal="center" vertical="center"/>
    </xf>
    <xf numFmtId="0" fontId="46" fillId="0" borderId="5" xfId="0" applyFont="1" applyBorder="1" applyAlignment="1">
      <alignment vertical="center"/>
    </xf>
    <xf numFmtId="0" fontId="46" fillId="0" borderId="5" xfId="0" applyFont="1" applyFill="1" applyBorder="1" applyAlignment="1">
      <alignment horizontal="right" vertical="top"/>
    </xf>
    <xf numFmtId="0" fontId="46" fillId="0" borderId="5" xfId="0" applyFont="1" applyBorder="1" applyAlignment="1">
      <alignment vertical="top"/>
    </xf>
    <xf numFmtId="0" fontId="46" fillId="0" borderId="5" xfId="0" applyFont="1" applyFill="1" applyBorder="1" applyAlignment="1">
      <alignment vertical="top"/>
    </xf>
    <xf numFmtId="0" fontId="46" fillId="0" borderId="5" xfId="0" applyFont="1" applyBorder="1" applyAlignment="1">
      <alignment horizontal="right" vertical="top"/>
    </xf>
    <xf numFmtId="0" fontId="68" fillId="0" borderId="5" xfId="0" applyFont="1" applyBorder="1">
      <alignment vertical="center"/>
    </xf>
    <xf numFmtId="0" fontId="4" fillId="0" borderId="5" xfId="0" applyFont="1" applyFill="1" applyBorder="1" applyAlignment="1">
      <alignment horizontal="center" vertical="top"/>
    </xf>
    <xf numFmtId="0" fontId="4" fillId="9" borderId="5" xfId="0" applyFont="1" applyFill="1" applyBorder="1" applyAlignment="1">
      <alignment horizontal="center" vertical="top"/>
    </xf>
    <xf numFmtId="0" fontId="4" fillId="0" borderId="5" xfId="0" applyFont="1" applyFill="1" applyBorder="1" applyAlignment="1">
      <alignment horizontal="right" vertical="top"/>
    </xf>
    <xf numFmtId="0" fontId="4" fillId="0" borderId="5" xfId="0" applyFont="1" applyBorder="1" applyAlignment="1">
      <alignment horizontal="center" vertical="top"/>
    </xf>
    <xf numFmtId="0" fontId="4" fillId="0" borderId="5" xfId="0" applyFont="1" applyFill="1" applyBorder="1" applyAlignment="1">
      <alignment horizontal="center" vertical="center"/>
    </xf>
    <xf numFmtId="0" fontId="4" fillId="0" borderId="5" xfId="0" applyFont="1" applyFill="1" applyBorder="1" applyAlignment="1">
      <alignment horizontal="right" vertical="center"/>
    </xf>
    <xf numFmtId="0" fontId="4" fillId="0" borderId="5" xfId="0" applyFont="1" applyFill="1" applyBorder="1" applyAlignment="1">
      <alignment horizontal="left" vertical="center"/>
    </xf>
    <xf numFmtId="0" fontId="4" fillId="9" borderId="5" xfId="0" applyFont="1" applyFill="1" applyBorder="1" applyAlignment="1">
      <alignment horizontal="center" vertical="center"/>
    </xf>
    <xf numFmtId="0" fontId="4" fillId="0" borderId="6" xfId="0" applyFont="1" applyFill="1" applyBorder="1" applyAlignment="1">
      <alignment horizontal="left" vertical="center"/>
    </xf>
    <xf numFmtId="0" fontId="6" fillId="0" borderId="3" xfId="0" applyFont="1" applyFill="1" applyBorder="1" applyAlignment="1">
      <alignment horizontal="left" vertical="center"/>
    </xf>
    <xf numFmtId="0" fontId="8" fillId="0" borderId="33" xfId="0" applyFont="1" applyFill="1" applyBorder="1" applyAlignment="1">
      <alignment vertical="center"/>
    </xf>
    <xf numFmtId="0" fontId="8" fillId="0" borderId="34" xfId="0" applyFont="1" applyFill="1" applyBorder="1" applyAlignment="1">
      <alignment vertical="center"/>
    </xf>
    <xf numFmtId="0" fontId="8" fillId="0" borderId="42" xfId="0" applyFont="1" applyFill="1" applyBorder="1" applyAlignment="1">
      <alignment vertical="center"/>
    </xf>
    <xf numFmtId="186" fontId="4" fillId="0" borderId="5" xfId="4" applyNumberFormat="1" applyFont="1" applyFill="1" applyBorder="1" applyAlignment="1">
      <alignment vertical="top"/>
    </xf>
    <xf numFmtId="43" fontId="4" fillId="0" borderId="5" xfId="4" applyFont="1" applyBorder="1" applyAlignment="1">
      <alignment vertical="top"/>
    </xf>
    <xf numFmtId="43" fontId="4" fillId="0" borderId="5" xfId="4" applyNumberFormat="1" applyFont="1" applyFill="1" applyBorder="1" applyAlignment="1">
      <alignment vertical="top"/>
    </xf>
    <xf numFmtId="43" fontId="4" fillId="0" borderId="5" xfId="4" applyFont="1" applyFill="1" applyBorder="1" applyAlignment="1">
      <alignment vertical="top"/>
    </xf>
    <xf numFmtId="0" fontId="7" fillId="2" borderId="5" xfId="0" applyFont="1" applyFill="1" applyBorder="1" applyAlignment="1">
      <alignment horizontal="center" vertical="center" wrapText="1"/>
    </xf>
    <xf numFmtId="0" fontId="5" fillId="0" borderId="0" xfId="0" applyFont="1" applyAlignment="1">
      <alignment vertical="center"/>
    </xf>
    <xf numFmtId="0" fontId="5" fillId="0" borderId="0" xfId="0" applyFont="1" applyFill="1" applyAlignment="1">
      <alignment vertical="center"/>
    </xf>
    <xf numFmtId="186" fontId="5" fillId="14" borderId="5" xfId="4" applyNumberFormat="1" applyFont="1" applyFill="1" applyBorder="1" applyAlignment="1">
      <alignment vertical="top"/>
    </xf>
    <xf numFmtId="43" fontId="7" fillId="2" borderId="0" xfId="4" applyFont="1" applyFill="1" applyAlignment="1">
      <alignment vertical="center"/>
    </xf>
    <xf numFmtId="0" fontId="7" fillId="2" borderId="22" xfId="0" applyFont="1" applyFill="1" applyBorder="1" applyAlignment="1">
      <alignment horizontal="center" vertical="center"/>
    </xf>
    <xf numFmtId="0" fontId="7" fillId="2" borderId="5" xfId="0" applyFont="1" applyFill="1" applyBorder="1" applyAlignment="1">
      <alignment vertical="center" wrapText="1"/>
    </xf>
    <xf numFmtId="9" fontId="4" fillId="20" borderId="5" xfId="0" applyNumberFormat="1" applyFont="1" applyFill="1" applyBorder="1" applyAlignment="1">
      <alignment vertical="top"/>
    </xf>
    <xf numFmtId="0" fontId="6" fillId="0" borderId="5" xfId="0" applyFont="1" applyFill="1" applyBorder="1" applyAlignment="1">
      <alignment vertical="top"/>
    </xf>
    <xf numFmtId="186" fontId="5" fillId="14" borderId="0" xfId="4" applyNumberFormat="1" applyFont="1" applyFill="1" applyBorder="1" applyAlignment="1">
      <alignment vertical="top"/>
    </xf>
    <xf numFmtId="186" fontId="5" fillId="0" borderId="0" xfId="4" applyNumberFormat="1" applyFont="1" applyBorder="1" applyAlignment="1">
      <alignment vertical="top"/>
    </xf>
    <xf numFmtId="186" fontId="5" fillId="14" borderId="0" xfId="4" applyNumberFormat="1" applyFont="1" applyFill="1" applyBorder="1" applyAlignment="1">
      <alignment vertical="center"/>
    </xf>
    <xf numFmtId="186" fontId="5" fillId="0" borderId="0" xfId="4" applyNumberFormat="1" applyFont="1" applyBorder="1" applyAlignment="1">
      <alignment vertical="center"/>
    </xf>
    <xf numFmtId="186" fontId="4" fillId="14" borderId="0" xfId="4" applyNumberFormat="1" applyFont="1" applyFill="1" applyBorder="1" applyAlignment="1">
      <alignment vertical="top"/>
    </xf>
    <xf numFmtId="186" fontId="4" fillId="0" borderId="0" xfId="4" applyNumberFormat="1" applyFont="1" applyBorder="1" applyAlignment="1">
      <alignment vertical="top"/>
    </xf>
    <xf numFmtId="186" fontId="60" fillId="14" borderId="0" xfId="4" applyNumberFormat="1" applyFont="1" applyFill="1" applyBorder="1" applyAlignment="1">
      <alignment vertical="top"/>
    </xf>
    <xf numFmtId="186" fontId="60" fillId="0" borderId="0" xfId="4" applyNumberFormat="1" applyFont="1" applyBorder="1" applyAlignment="1">
      <alignment vertical="top"/>
    </xf>
    <xf numFmtId="43" fontId="4" fillId="14" borderId="0" xfId="4" applyFont="1" applyFill="1" applyBorder="1" applyAlignment="1">
      <alignment vertical="top"/>
    </xf>
    <xf numFmtId="186" fontId="4" fillId="14" borderId="5" xfId="4" applyNumberFormat="1" applyFont="1" applyFill="1" applyBorder="1" applyAlignment="1">
      <alignment vertical="top"/>
    </xf>
    <xf numFmtId="186" fontId="4" fillId="0" borderId="5" xfId="4" applyNumberFormat="1" applyFont="1" applyBorder="1" applyAlignment="1">
      <alignment vertical="top"/>
    </xf>
    <xf numFmtId="186" fontId="4" fillId="16" borderId="5" xfId="4" applyNumberFormat="1" applyFont="1" applyFill="1" applyBorder="1" applyAlignment="1">
      <alignment vertical="top"/>
    </xf>
    <xf numFmtId="186" fontId="6" fillId="14" borderId="5" xfId="4" applyNumberFormat="1" applyFont="1" applyFill="1" applyBorder="1" applyAlignment="1">
      <alignment vertical="top"/>
    </xf>
    <xf numFmtId="186" fontId="6" fillId="0" borderId="5" xfId="4" applyNumberFormat="1" applyFont="1" applyFill="1" applyBorder="1" applyAlignment="1">
      <alignment vertical="top"/>
    </xf>
    <xf numFmtId="43" fontId="4" fillId="0" borderId="5" xfId="4" applyFont="1" applyBorder="1" applyAlignment="1">
      <alignment horizontal="center" vertical="top"/>
    </xf>
    <xf numFmtId="0" fontId="48" fillId="2" borderId="0" xfId="0" applyFont="1" applyFill="1" applyAlignment="1">
      <alignment vertical="top"/>
    </xf>
    <xf numFmtId="182" fontId="6" fillId="21" borderId="5" xfId="0" applyNumberFormat="1" applyFont="1" applyFill="1" applyBorder="1" applyAlignment="1">
      <alignment vertical="top"/>
    </xf>
    <xf numFmtId="43" fontId="4" fillId="21" borderId="5" xfId="0" applyNumberFormat="1" applyFont="1" applyFill="1" applyBorder="1" applyAlignment="1">
      <alignment vertical="top"/>
    </xf>
    <xf numFmtId="43" fontId="60" fillId="0" borderId="5" xfId="4" applyFont="1" applyBorder="1" applyAlignment="1">
      <alignment horizontal="center" vertical="top"/>
    </xf>
    <xf numFmtId="43" fontId="60" fillId="0" borderId="5" xfId="4" applyFont="1" applyFill="1" applyBorder="1" applyAlignment="1">
      <alignment horizontal="center" vertical="top"/>
    </xf>
    <xf numFmtId="43" fontId="4" fillId="0" borderId="5" xfId="4" applyFont="1" applyFill="1" applyBorder="1" applyAlignment="1">
      <alignment horizontal="center" vertical="top"/>
    </xf>
    <xf numFmtId="9" fontId="4" fillId="0" borderId="0" xfId="0" applyNumberFormat="1" applyFont="1" applyFill="1" applyBorder="1" applyAlignment="1">
      <alignment vertical="top"/>
    </xf>
    <xf numFmtId="182" fontId="6" fillId="9" borderId="12" xfId="0" applyNumberFormat="1" applyFont="1" applyFill="1" applyBorder="1" applyAlignment="1">
      <alignment vertical="top"/>
    </xf>
    <xf numFmtId="0" fontId="6" fillId="8" borderId="5" xfId="0" applyFont="1" applyFill="1" applyBorder="1" applyAlignment="1">
      <alignment vertical="top"/>
    </xf>
    <xf numFmtId="0" fontId="4" fillId="8" borderId="5" xfId="0" applyFont="1" applyFill="1" applyBorder="1" applyAlignment="1">
      <alignment horizontal="left" vertical="top"/>
    </xf>
    <xf numFmtId="182" fontId="4" fillId="0" borderId="5" xfId="0" applyNumberFormat="1" applyFont="1" applyFill="1" applyBorder="1" applyAlignment="1">
      <alignment horizontal="center" vertical="top"/>
    </xf>
    <xf numFmtId="43" fontId="70" fillId="8" borderId="5" xfId="4" applyFont="1" applyFill="1" applyBorder="1" applyAlignment="1">
      <alignment vertical="top"/>
    </xf>
    <xf numFmtId="0" fontId="4" fillId="8" borderId="5" xfId="0" applyFont="1" applyFill="1" applyBorder="1">
      <alignment vertical="center"/>
    </xf>
    <xf numFmtId="0" fontId="4" fillId="0" borderId="0" xfId="0" applyFont="1" applyBorder="1" applyAlignment="1">
      <alignment horizontal="right" vertical="center"/>
    </xf>
    <xf numFmtId="0" fontId="4" fillId="0" borderId="0" xfId="0" applyFont="1" applyBorder="1" applyAlignment="1">
      <alignment horizontal="center" vertical="center"/>
    </xf>
    <xf numFmtId="43" fontId="4" fillId="0" borderId="5" xfId="4" applyFont="1" applyBorder="1">
      <alignment vertical="center"/>
    </xf>
    <xf numFmtId="182" fontId="6" fillId="9" borderId="5" xfId="0" quotePrefix="1" applyNumberFormat="1" applyFont="1" applyFill="1" applyBorder="1" applyAlignment="1">
      <alignment horizontal="center" vertical="center"/>
    </xf>
    <xf numFmtId="182" fontId="6" fillId="0" borderId="21" xfId="0" applyNumberFormat="1" applyFont="1" applyFill="1" applyBorder="1" applyAlignment="1">
      <alignment horizontal="left" vertical="center"/>
    </xf>
    <xf numFmtId="182" fontId="2" fillId="0" borderId="31" xfId="0" applyNumberFormat="1" applyFont="1" applyFill="1" applyBorder="1">
      <alignment vertical="center"/>
    </xf>
    <xf numFmtId="182" fontId="6" fillId="8" borderId="5" xfId="0" applyNumberFormat="1" applyFont="1" applyFill="1" applyBorder="1" applyAlignment="1">
      <alignment vertical="center" wrapText="1"/>
    </xf>
    <xf numFmtId="182" fontId="6" fillId="8" borderId="5" xfId="0" applyNumberFormat="1" applyFont="1" applyFill="1" applyBorder="1" applyAlignment="1">
      <alignment vertical="top" wrapText="1"/>
    </xf>
    <xf numFmtId="182" fontId="6" fillId="0" borderId="27" xfId="0" applyNumberFormat="1" applyFont="1" applyFill="1" applyBorder="1" applyAlignment="1">
      <alignment horizontal="left" vertical="center"/>
    </xf>
    <xf numFmtId="182" fontId="6" fillId="0" borderId="29" xfId="0" applyNumberFormat="1" applyFont="1" applyFill="1" applyBorder="1" applyAlignment="1">
      <alignment vertical="top"/>
    </xf>
    <xf numFmtId="43" fontId="4" fillId="21" borderId="5" xfId="0" applyNumberFormat="1" applyFont="1" applyFill="1" applyBorder="1" applyAlignment="1">
      <alignment horizontal="center" vertical="center"/>
    </xf>
    <xf numFmtId="43" fontId="46" fillId="0" borderId="0" xfId="4" applyFont="1" applyFill="1" applyBorder="1" applyAlignment="1">
      <alignment horizontal="right" vertical="center"/>
    </xf>
    <xf numFmtId="43" fontId="51" fillId="0" borderId="5" xfId="4" applyFont="1" applyBorder="1">
      <alignment vertical="center"/>
    </xf>
    <xf numFmtId="0" fontId="7" fillId="2" borderId="21" xfId="0" applyFont="1" applyFill="1" applyBorder="1" applyAlignment="1">
      <alignment horizontal="center" vertical="center"/>
    </xf>
    <xf numFmtId="0" fontId="6" fillId="8" borderId="5" xfId="0" applyFont="1" applyFill="1" applyBorder="1">
      <alignment vertical="center"/>
    </xf>
    <xf numFmtId="43" fontId="38" fillId="8" borderId="5" xfId="4" applyFont="1" applyFill="1" applyBorder="1" applyAlignment="1">
      <alignment horizontal="left" vertical="center"/>
    </xf>
    <xf numFmtId="0" fontId="6" fillId="8" borderId="5" xfId="0" applyFont="1" applyFill="1" applyBorder="1" applyAlignment="1">
      <alignment horizontal="left" vertical="center"/>
    </xf>
    <xf numFmtId="0" fontId="7" fillId="2" borderId="35" xfId="0" applyFont="1" applyFill="1" applyBorder="1" applyAlignment="1">
      <alignment horizontal="center" vertical="center"/>
    </xf>
    <xf numFmtId="189" fontId="6" fillId="9" borderId="22" xfId="0" quotePrefix="1" applyNumberFormat="1" applyFont="1" applyFill="1" applyBorder="1" applyAlignment="1">
      <alignment horizontal="center" vertical="center"/>
    </xf>
    <xf numFmtId="9" fontId="4" fillId="0" borderId="5" xfId="0" applyNumberFormat="1" applyFont="1" applyFill="1" applyBorder="1" applyAlignment="1">
      <alignment horizontal="left" vertical="center"/>
    </xf>
    <xf numFmtId="182" fontId="4" fillId="0" borderId="5" xfId="0" applyNumberFormat="1" applyFont="1" applyFill="1" applyBorder="1" applyAlignment="1">
      <alignment horizontal="left" vertical="center"/>
    </xf>
    <xf numFmtId="4" fontId="4" fillId="0" borderId="5" xfId="0" applyNumberFormat="1" applyFont="1" applyFill="1" applyBorder="1" applyAlignment="1">
      <alignment horizontal="left" vertical="center"/>
    </xf>
    <xf numFmtId="0" fontId="67" fillId="0" borderId="5" xfId="0" applyFont="1" applyFill="1" applyBorder="1" applyAlignment="1">
      <alignment horizontal="left" vertical="center"/>
    </xf>
    <xf numFmtId="43" fontId="4" fillId="0" borderId="5" xfId="4" applyFont="1" applyFill="1" applyBorder="1" applyAlignment="1">
      <alignment horizontal="left" vertical="center"/>
    </xf>
    <xf numFmtId="3" fontId="4" fillId="0" borderId="5" xfId="0" applyNumberFormat="1" applyFont="1" applyFill="1" applyBorder="1" applyAlignment="1">
      <alignment horizontal="left" vertical="center"/>
    </xf>
    <xf numFmtId="3" fontId="4" fillId="0" borderId="5" xfId="4" applyNumberFormat="1" applyFont="1" applyFill="1" applyBorder="1" applyAlignment="1">
      <alignment horizontal="left" vertical="center"/>
    </xf>
    <xf numFmtId="190" fontId="4" fillId="0" borderId="5" xfId="4" applyNumberFormat="1" applyFont="1" applyFill="1" applyBorder="1" applyAlignment="1">
      <alignment horizontal="left" vertical="center"/>
    </xf>
    <xf numFmtId="43" fontId="4" fillId="0" borderId="5" xfId="4" applyFont="1" applyFill="1" applyBorder="1" applyAlignment="1">
      <alignment vertical="center"/>
    </xf>
    <xf numFmtId="43" fontId="51" fillId="0" borderId="0" xfId="4" applyFont="1" applyAlignment="1">
      <alignment horizontal="center" vertical="center"/>
    </xf>
    <xf numFmtId="43" fontId="4" fillId="0" borderId="5" xfId="0" applyNumberFormat="1" applyFont="1" applyFill="1" applyBorder="1" applyAlignment="1">
      <alignment vertical="center"/>
    </xf>
    <xf numFmtId="9" fontId="4" fillId="20" borderId="5" xfId="0" applyNumberFormat="1" applyFont="1" applyFill="1" applyBorder="1" applyAlignment="1">
      <alignment horizontal="center" vertical="top"/>
    </xf>
    <xf numFmtId="43" fontId="46" fillId="21" borderId="5" xfId="4" applyFont="1" applyFill="1" applyBorder="1" applyAlignment="1">
      <alignment horizontal="center" vertical="center"/>
    </xf>
    <xf numFmtId="43" fontId="4" fillId="14" borderId="5" xfId="0" applyNumberFormat="1" applyFont="1" applyFill="1" applyBorder="1">
      <alignment vertical="center"/>
    </xf>
    <xf numFmtId="186" fontId="4" fillId="14" borderId="5" xfId="4" applyNumberFormat="1" applyFont="1" applyFill="1" applyBorder="1">
      <alignment vertical="center"/>
    </xf>
    <xf numFmtId="43" fontId="4" fillId="14" borderId="5" xfId="4" applyFont="1" applyFill="1" applyBorder="1">
      <alignment vertical="center"/>
    </xf>
    <xf numFmtId="0" fontId="4" fillId="14" borderId="5" xfId="0" applyFont="1" applyFill="1" applyBorder="1">
      <alignment vertical="center"/>
    </xf>
    <xf numFmtId="0" fontId="4" fillId="14" borderId="0" xfId="0" applyFont="1" applyFill="1" applyAlignment="1">
      <alignment vertical="center"/>
    </xf>
    <xf numFmtId="43" fontId="4" fillId="0" borderId="0" xfId="0" applyNumberFormat="1" applyFont="1" applyAlignment="1">
      <alignment vertical="center"/>
    </xf>
    <xf numFmtId="9" fontId="4" fillId="0" borderId="0" xfId="0" applyNumberFormat="1" applyFont="1" applyFill="1" applyAlignment="1">
      <alignment vertical="center"/>
    </xf>
    <xf numFmtId="3" fontId="4" fillId="0" borderId="5" xfId="0" applyNumberFormat="1" applyFont="1" applyFill="1" applyBorder="1" applyAlignment="1">
      <alignment vertical="center"/>
    </xf>
    <xf numFmtId="182" fontId="6" fillId="0" borderId="5" xfId="0" applyNumberFormat="1" applyFont="1" applyFill="1" applyBorder="1" applyAlignment="1">
      <alignment vertical="center"/>
    </xf>
    <xf numFmtId="182" fontId="6" fillId="0" borderId="21" xfId="0" applyNumberFormat="1" applyFont="1" applyFill="1" applyBorder="1" applyAlignment="1">
      <alignment vertical="center"/>
    </xf>
    <xf numFmtId="182" fontId="6" fillId="0" borderId="0" xfId="0" applyNumberFormat="1" applyFont="1" applyFill="1" applyAlignment="1">
      <alignment vertical="center"/>
    </xf>
    <xf numFmtId="186" fontId="6" fillId="0" borderId="0" xfId="4" applyNumberFormat="1" applyFont="1" applyFill="1" applyAlignment="1">
      <alignment vertical="center"/>
    </xf>
    <xf numFmtId="182" fontId="6" fillId="0" borderId="0" xfId="0" applyNumberFormat="1" applyFont="1" applyFill="1" applyBorder="1" applyAlignment="1">
      <alignment vertical="center"/>
    </xf>
    <xf numFmtId="0" fontId="39" fillId="0" borderId="0" xfId="0" applyFont="1" applyFill="1" applyAlignment="1">
      <alignment vertical="center"/>
    </xf>
    <xf numFmtId="3" fontId="4" fillId="0" borderId="5" xfId="4" applyNumberFormat="1" applyFont="1" applyFill="1" applyBorder="1" applyAlignment="1">
      <alignment vertical="center"/>
    </xf>
    <xf numFmtId="43" fontId="4" fillId="0" borderId="5" xfId="4" applyFont="1" applyBorder="1" applyAlignment="1">
      <alignment vertical="center"/>
    </xf>
    <xf numFmtId="43" fontId="4" fillId="0" borderId="5" xfId="0" applyNumberFormat="1" applyFont="1" applyBorder="1" applyAlignment="1">
      <alignment vertical="center"/>
    </xf>
    <xf numFmtId="43" fontId="4" fillId="0" borderId="5" xfId="4" applyFont="1" applyBorder="1" applyAlignment="1">
      <alignment horizontal="center" vertical="center"/>
    </xf>
    <xf numFmtId="0" fontId="39" fillId="0" borderId="0" xfId="0" applyFont="1" applyAlignment="1">
      <alignment horizontal="center" vertical="center"/>
    </xf>
    <xf numFmtId="4" fontId="4" fillId="0" borderId="5" xfId="4" applyNumberFormat="1" applyFont="1" applyBorder="1" applyAlignment="1">
      <alignment horizontal="left" vertical="center"/>
    </xf>
    <xf numFmtId="4" fontId="4" fillId="0" borderId="5" xfId="4" applyNumberFormat="1" applyFont="1" applyBorder="1" applyAlignment="1">
      <alignment horizontal="left" vertical="center" wrapText="1"/>
    </xf>
    <xf numFmtId="43" fontId="6" fillId="21" borderId="5" xfId="0" applyNumberFormat="1" applyFont="1" applyFill="1" applyBorder="1" applyAlignment="1">
      <alignment horizontal="center" vertical="center"/>
    </xf>
    <xf numFmtId="182" fontId="6" fillId="21" borderId="5" xfId="0" quotePrefix="1" applyNumberFormat="1" applyFont="1" applyFill="1" applyBorder="1" applyAlignment="1">
      <alignment horizontal="right" vertical="center"/>
    </xf>
    <xf numFmtId="182" fontId="4" fillId="21" borderId="5" xfId="0" quotePrefix="1" applyNumberFormat="1" applyFont="1" applyFill="1" applyBorder="1" applyAlignment="1">
      <alignment horizontal="right" vertical="center"/>
    </xf>
    <xf numFmtId="43" fontId="51" fillId="0" borderId="5" xfId="4" applyFont="1" applyBorder="1" applyAlignment="1">
      <alignment vertical="center"/>
    </xf>
    <xf numFmtId="43" fontId="51" fillId="0" borderId="5" xfId="4" applyFont="1" applyFill="1" applyBorder="1" applyAlignment="1">
      <alignment vertical="center"/>
    </xf>
    <xf numFmtId="0" fontId="6" fillId="8" borderId="5" xfId="0" applyFont="1" applyFill="1" applyBorder="1" applyAlignment="1">
      <alignment vertical="center"/>
    </xf>
    <xf numFmtId="43" fontId="4" fillId="21" borderId="5" xfId="0" applyNumberFormat="1" applyFont="1" applyFill="1" applyBorder="1" applyAlignment="1">
      <alignment horizontal="right" vertical="center"/>
    </xf>
    <xf numFmtId="182" fontId="6" fillId="0" borderId="0" xfId="0" applyNumberFormat="1" applyFont="1" applyFill="1" applyBorder="1" applyAlignment="1">
      <alignment horizontal="center" vertical="center"/>
    </xf>
    <xf numFmtId="0" fontId="39" fillId="0" borderId="0" xfId="0" applyFont="1" applyFill="1" applyBorder="1" applyAlignment="1">
      <alignment vertical="center"/>
    </xf>
    <xf numFmtId="176" fontId="39" fillId="0" borderId="0" xfId="4" applyNumberFormat="1" applyFont="1" applyFill="1" applyBorder="1" applyAlignment="1">
      <alignment vertical="center"/>
    </xf>
    <xf numFmtId="176" fontId="39" fillId="0" borderId="0" xfId="0" applyNumberFormat="1" applyFont="1" applyFill="1" applyBorder="1" applyAlignment="1">
      <alignment vertical="center"/>
    </xf>
    <xf numFmtId="182" fontId="6" fillId="0" borderId="31" xfId="0" applyNumberFormat="1" applyFont="1" applyFill="1" applyBorder="1" applyAlignment="1">
      <alignment horizontal="center" vertical="center"/>
    </xf>
    <xf numFmtId="186" fontId="4" fillId="14" borderId="5" xfId="4" applyNumberFormat="1" applyFont="1" applyFill="1" applyBorder="1" applyAlignment="1">
      <alignment vertical="center"/>
    </xf>
    <xf numFmtId="0" fontId="4" fillId="14" borderId="5" xfId="0" applyFont="1" applyFill="1" applyBorder="1" applyAlignment="1">
      <alignment vertical="center"/>
    </xf>
    <xf numFmtId="43" fontId="4" fillId="14" borderId="5" xfId="0" applyNumberFormat="1" applyFont="1" applyFill="1" applyBorder="1" applyAlignment="1">
      <alignment vertical="center"/>
    </xf>
    <xf numFmtId="185" fontId="4" fillId="14" borderId="5" xfId="0" applyNumberFormat="1" applyFont="1" applyFill="1" applyBorder="1" applyAlignment="1">
      <alignment vertical="center"/>
    </xf>
    <xf numFmtId="186" fontId="6" fillId="14" borderId="5" xfId="4" applyNumberFormat="1" applyFont="1" applyFill="1" applyBorder="1" applyAlignment="1">
      <alignment vertical="center"/>
    </xf>
    <xf numFmtId="182" fontId="6" fillId="14" borderId="5" xfId="0" applyNumberFormat="1" applyFont="1" applyFill="1" applyBorder="1" applyAlignment="1">
      <alignment vertical="center"/>
    </xf>
    <xf numFmtId="0" fontId="39" fillId="14" borderId="5" xfId="0" applyFont="1" applyFill="1" applyBorder="1" applyAlignment="1">
      <alignment vertical="center"/>
    </xf>
    <xf numFmtId="0" fontId="7" fillId="2" borderId="35" xfId="0" applyFont="1" applyFill="1" applyBorder="1" applyAlignment="1">
      <alignment horizontal="center" vertical="center" wrapText="1"/>
    </xf>
    <xf numFmtId="0" fontId="4" fillId="0" borderId="5" xfId="0" applyFont="1" applyFill="1" applyBorder="1" applyAlignment="1">
      <alignment horizontal="center" vertical="top"/>
    </xf>
    <xf numFmtId="0" fontId="4" fillId="9" borderId="5" xfId="0" applyFont="1" applyFill="1" applyBorder="1" applyAlignment="1">
      <alignment horizontal="center" vertical="top"/>
    </xf>
    <xf numFmtId="0" fontId="4" fillId="0" borderId="5" xfId="0" applyFont="1" applyBorder="1" applyAlignment="1">
      <alignment horizontal="center" vertical="top"/>
    </xf>
    <xf numFmtId="0" fontId="4" fillId="0" borderId="5" xfId="0" applyFont="1" applyFill="1" applyBorder="1" applyAlignment="1">
      <alignment horizontal="center" vertical="center" wrapText="1"/>
    </xf>
    <xf numFmtId="0" fontId="7" fillId="2" borderId="35" xfId="0" applyFont="1" applyFill="1" applyBorder="1" applyAlignment="1">
      <alignment horizontal="center" vertical="center"/>
    </xf>
    <xf numFmtId="0" fontId="20" fillId="0" borderId="23" xfId="0" applyFont="1" applyFill="1" applyBorder="1" applyAlignment="1">
      <alignment horizontal="left" vertical="center" wrapText="1"/>
    </xf>
    <xf numFmtId="0" fontId="20" fillId="0" borderId="30" xfId="0" applyFont="1" applyFill="1" applyBorder="1" applyAlignment="1">
      <alignment horizontal="left" vertical="center" wrapText="1"/>
    </xf>
    <xf numFmtId="0" fontId="20" fillId="0" borderId="27" xfId="0" applyFont="1" applyFill="1" applyBorder="1" applyAlignment="1">
      <alignment horizontal="left" vertical="center" wrapText="1"/>
    </xf>
    <xf numFmtId="0" fontId="4" fillId="0" borderId="5" xfId="0" applyFont="1" applyFill="1" applyBorder="1" applyAlignment="1">
      <alignment horizontal="center" vertical="center"/>
    </xf>
    <xf numFmtId="0" fontId="4" fillId="0" borderId="5" xfId="0" applyFont="1" applyBorder="1" applyAlignment="1">
      <alignment horizontal="left" vertical="center"/>
    </xf>
    <xf numFmtId="0" fontId="4" fillId="9" borderId="5" xfId="0" applyFont="1" applyFill="1" applyBorder="1" applyAlignment="1">
      <alignment horizontal="center" vertical="center"/>
    </xf>
    <xf numFmtId="0" fontId="4" fillId="0" borderId="5" xfId="0" applyFont="1" applyFill="1" applyBorder="1" applyAlignment="1">
      <alignment horizontal="right" vertical="center"/>
    </xf>
    <xf numFmtId="0" fontId="4" fillId="9" borderId="21" xfId="0" applyFont="1" applyFill="1" applyBorder="1" applyAlignment="1">
      <alignment horizontal="center" vertical="center"/>
    </xf>
    <xf numFmtId="0" fontId="20" fillId="0" borderId="5" xfId="0" applyFont="1" applyFill="1" applyBorder="1" applyAlignment="1">
      <alignment horizontal="left" vertical="center" wrapText="1"/>
    </xf>
    <xf numFmtId="179" fontId="4" fillId="9" borderId="5" xfId="0" applyNumberFormat="1" applyFont="1" applyFill="1" applyBorder="1" applyAlignment="1">
      <alignment horizontal="center" vertical="center"/>
    </xf>
    <xf numFmtId="0" fontId="4" fillId="0" borderId="5" xfId="0" applyFont="1" applyFill="1" applyBorder="1" applyAlignment="1">
      <alignment horizontal="left" vertical="center"/>
    </xf>
    <xf numFmtId="179" fontId="4" fillId="0" borderId="5" xfId="0" applyNumberFormat="1" applyFont="1" applyFill="1" applyBorder="1" applyAlignment="1">
      <alignment horizontal="center" vertical="center"/>
    </xf>
    <xf numFmtId="181" fontId="4" fillId="0" borderId="5" xfId="0" applyNumberFormat="1" applyFont="1" applyFill="1" applyBorder="1" applyAlignment="1">
      <alignment horizontal="center" vertical="center"/>
    </xf>
    <xf numFmtId="0" fontId="2" fillId="0" borderId="0" xfId="0" applyFont="1" applyBorder="1" applyAlignment="1">
      <alignment horizontal="center" vertical="center"/>
    </xf>
    <xf numFmtId="0" fontId="4" fillId="0" borderId="5" xfId="0" applyFont="1" applyBorder="1" applyAlignment="1">
      <alignment horizontal="center" vertical="center" wrapText="1"/>
    </xf>
    <xf numFmtId="0" fontId="20" fillId="0" borderId="5" xfId="0" applyFont="1" applyFill="1" applyBorder="1" applyAlignment="1">
      <alignment horizontal="center" vertical="center" wrapText="1"/>
    </xf>
    <xf numFmtId="0" fontId="20" fillId="0" borderId="21" xfId="0" applyFont="1" applyFill="1" applyBorder="1" applyAlignment="1">
      <alignment horizontal="left" vertical="center" wrapText="1"/>
    </xf>
    <xf numFmtId="0" fontId="4" fillId="0" borderId="43" xfId="0" applyFont="1" applyFill="1" applyBorder="1">
      <alignment vertical="center"/>
    </xf>
    <xf numFmtId="0" fontId="52" fillId="0" borderId="5" xfId="0" applyFont="1" applyBorder="1" applyAlignment="1">
      <alignment horizontal="left" vertical="top"/>
    </xf>
    <xf numFmtId="0" fontId="4" fillId="0" borderId="5" xfId="0" applyFont="1" applyBorder="1" applyAlignment="1">
      <alignment vertical="top"/>
    </xf>
    <xf numFmtId="0" fontId="50" fillId="0" borderId="5" xfId="0" applyFont="1" applyFill="1" applyBorder="1" applyAlignment="1">
      <alignment horizontal="center" vertical="center"/>
    </xf>
    <xf numFmtId="182" fontId="6" fillId="0" borderId="12" xfId="0" applyNumberFormat="1" applyFont="1" applyFill="1" applyBorder="1" applyAlignment="1">
      <alignment horizontal="center" vertical="top"/>
    </xf>
    <xf numFmtId="182" fontId="6" fillId="0" borderId="12" xfId="0" applyNumberFormat="1" applyFont="1" applyFill="1" applyBorder="1" applyAlignment="1">
      <alignment horizontal="left" vertical="top"/>
    </xf>
    <xf numFmtId="9" fontId="4" fillId="20" borderId="5" xfId="0" applyNumberFormat="1" applyFont="1" applyFill="1" applyBorder="1" applyAlignment="1">
      <alignment horizontal="left" vertical="top"/>
    </xf>
    <xf numFmtId="9" fontId="4" fillId="0" borderId="5" xfId="0" applyNumberFormat="1" applyFont="1" applyFill="1" applyBorder="1" applyAlignment="1">
      <alignment horizontal="left" vertical="top"/>
    </xf>
    <xf numFmtId="10" fontId="4" fillId="0" borderId="5" xfId="0" applyNumberFormat="1" applyFont="1" applyFill="1" applyBorder="1" applyAlignment="1">
      <alignment horizontal="left" vertical="top"/>
    </xf>
    <xf numFmtId="177" fontId="4" fillId="0" borderId="5" xfId="0" applyNumberFormat="1" applyFont="1" applyFill="1" applyBorder="1" applyAlignment="1">
      <alignment horizontal="left" vertical="top"/>
    </xf>
    <xf numFmtId="3" fontId="4" fillId="0" borderId="5" xfId="4" applyNumberFormat="1" applyFont="1" applyFill="1" applyBorder="1" applyAlignment="1">
      <alignment horizontal="left" vertical="top"/>
    </xf>
    <xf numFmtId="0" fontId="7" fillId="2" borderId="5" xfId="0" applyFont="1" applyFill="1" applyBorder="1" applyAlignment="1">
      <alignment horizontal="left" vertical="center"/>
    </xf>
    <xf numFmtId="10" fontId="4" fillId="0" borderId="5" xfId="0" applyNumberFormat="1" applyFont="1" applyBorder="1" applyAlignment="1">
      <alignment horizontal="left" vertical="top"/>
    </xf>
    <xf numFmtId="3" fontId="4" fillId="0" borderId="5" xfId="0" applyNumberFormat="1" applyFont="1" applyBorder="1" applyAlignment="1">
      <alignment horizontal="left" vertical="top"/>
    </xf>
    <xf numFmtId="0" fontId="48" fillId="8" borderId="5" xfId="0" applyFont="1" applyFill="1" applyBorder="1" applyAlignment="1">
      <alignment horizontal="left" vertical="top"/>
    </xf>
    <xf numFmtId="187" fontId="4" fillId="0" borderId="5" xfId="0" applyNumberFormat="1" applyFont="1" applyBorder="1" applyAlignment="1">
      <alignment horizontal="left" vertical="top"/>
    </xf>
    <xf numFmtId="185" fontId="4" fillId="0" borderId="5" xfId="0" applyNumberFormat="1" applyFont="1" applyBorder="1" applyAlignment="1">
      <alignment horizontal="left" vertical="top"/>
    </xf>
    <xf numFmtId="182" fontId="6" fillId="0" borderId="5" xfId="0" applyNumberFormat="1" applyFont="1" applyFill="1" applyBorder="1" applyAlignment="1">
      <alignment horizontal="left" vertical="top"/>
    </xf>
    <xf numFmtId="3" fontId="4" fillId="0" borderId="5" xfId="4" applyNumberFormat="1" applyFont="1" applyBorder="1" applyAlignment="1">
      <alignment horizontal="left" vertical="top"/>
    </xf>
    <xf numFmtId="43" fontId="4" fillId="0" borderId="5" xfId="4" applyNumberFormat="1" applyFont="1" applyFill="1" applyBorder="1" applyAlignment="1">
      <alignment horizontal="center" vertical="top"/>
    </xf>
    <xf numFmtId="43" fontId="60" fillId="0" borderId="0" xfId="4" applyFont="1" applyAlignment="1">
      <alignment horizontal="center" vertical="top"/>
    </xf>
    <xf numFmtId="0" fontId="5" fillId="0" borderId="0" xfId="0" applyFont="1" applyFill="1" applyAlignment="1">
      <alignment horizontal="left" vertical="top"/>
    </xf>
    <xf numFmtId="0" fontId="4" fillId="0" borderId="0" xfId="0" applyFont="1" applyFill="1" applyAlignment="1">
      <alignment horizontal="left" vertical="top"/>
    </xf>
    <xf numFmtId="43" fontId="4" fillId="0" borderId="0" xfId="4" applyFont="1" applyFill="1" applyAlignment="1">
      <alignment horizontal="left" vertical="top"/>
    </xf>
    <xf numFmtId="0" fontId="50" fillId="0" borderId="5" xfId="0" applyFont="1" applyFill="1" applyBorder="1" applyAlignment="1">
      <alignment horizontal="left" vertical="center"/>
    </xf>
    <xf numFmtId="0" fontId="4" fillId="0" borderId="23" xfId="0" applyFont="1" applyFill="1" applyBorder="1" applyAlignment="1">
      <alignment horizontal="left" vertical="center"/>
    </xf>
    <xf numFmtId="0" fontId="69" fillId="2" borderId="5" xfId="0" applyFont="1" applyFill="1" applyBorder="1" applyAlignment="1">
      <alignment horizontal="left" vertical="center" wrapText="1"/>
    </xf>
    <xf numFmtId="0" fontId="69" fillId="2" borderId="5"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69" fillId="2" borderId="5" xfId="0" applyFont="1" applyFill="1" applyBorder="1" applyAlignment="1">
      <alignment horizontal="center" vertical="center"/>
    </xf>
    <xf numFmtId="0" fontId="7" fillId="22" borderId="5" xfId="0" applyFont="1" applyFill="1" applyBorder="1" applyAlignment="1">
      <alignment horizontal="center" vertical="center"/>
    </xf>
    <xf numFmtId="182" fontId="6" fillId="0" borderId="5" xfId="0" applyNumberFormat="1" applyFont="1" applyFill="1" applyBorder="1" applyAlignment="1">
      <alignment horizontal="left" vertical="center"/>
    </xf>
    <xf numFmtId="9" fontId="4" fillId="20" borderId="21" xfId="0" applyNumberFormat="1" applyFont="1" applyFill="1" applyBorder="1" applyAlignment="1">
      <alignment horizontal="center" vertical="top"/>
    </xf>
    <xf numFmtId="9" fontId="4" fillId="3" borderId="5" xfId="0" applyNumberFormat="1" applyFont="1" applyFill="1" applyBorder="1" applyAlignment="1">
      <alignment horizontal="right" vertical="center"/>
    </xf>
    <xf numFmtId="9" fontId="4" fillId="0" borderId="5" xfId="0" applyNumberFormat="1" applyFont="1" applyBorder="1" applyAlignment="1">
      <alignment horizontal="right" vertical="center"/>
    </xf>
    <xf numFmtId="0" fontId="2" fillId="0" borderId="33" xfId="0" applyFont="1" applyBorder="1" applyAlignment="1">
      <alignment horizontal="left" vertical="center"/>
    </xf>
    <xf numFmtId="0" fontId="7" fillId="2" borderId="44" xfId="0" applyFont="1" applyFill="1" applyBorder="1" applyAlignment="1">
      <alignment horizontal="center" vertical="center"/>
    </xf>
    <xf numFmtId="0" fontId="0" fillId="0" borderId="5" xfId="0" applyBorder="1" applyAlignment="1">
      <alignment vertical="center"/>
    </xf>
    <xf numFmtId="0" fontId="5" fillId="14" borderId="5" xfId="0" applyFont="1" applyFill="1" applyBorder="1">
      <alignment vertical="center"/>
    </xf>
    <xf numFmtId="186" fontId="5" fillId="14" borderId="5" xfId="4" applyNumberFormat="1" applyFont="1" applyFill="1" applyBorder="1">
      <alignment vertical="center"/>
    </xf>
    <xf numFmtId="186" fontId="5" fillId="14" borderId="5" xfId="0" applyNumberFormat="1" applyFont="1" applyFill="1" applyBorder="1">
      <alignment vertical="center"/>
    </xf>
    <xf numFmtId="0" fontId="4" fillId="14" borderId="5" xfId="0" applyFont="1" applyFill="1" applyBorder="1" applyAlignment="1">
      <alignment vertical="top"/>
    </xf>
    <xf numFmtId="186" fontId="4" fillId="14" borderId="5" xfId="4" applyNumberFormat="1" applyFont="1" applyFill="1" applyBorder="1" applyAlignment="1">
      <alignment horizontal="right" vertical="center"/>
    </xf>
    <xf numFmtId="186" fontId="4" fillId="14" borderId="5" xfId="0" applyNumberFormat="1" applyFont="1" applyFill="1" applyBorder="1" applyAlignment="1">
      <alignment horizontal="right" vertical="center"/>
    </xf>
    <xf numFmtId="186" fontId="4" fillId="14" borderId="5" xfId="0" applyNumberFormat="1" applyFont="1" applyFill="1" applyBorder="1">
      <alignment vertical="center"/>
    </xf>
    <xf numFmtId="186" fontId="52" fillId="14" borderId="5" xfId="4" applyNumberFormat="1" applyFont="1" applyFill="1" applyBorder="1">
      <alignment vertical="center"/>
    </xf>
    <xf numFmtId="186" fontId="4" fillId="14" borderId="5" xfId="0" applyNumberFormat="1" applyFont="1" applyFill="1" applyBorder="1" applyAlignment="1">
      <alignment vertical="center"/>
    </xf>
    <xf numFmtId="0" fontId="6" fillId="14" borderId="5" xfId="0" applyFont="1" applyFill="1" applyBorder="1" applyAlignment="1">
      <alignment vertical="center"/>
    </xf>
    <xf numFmtId="186" fontId="6" fillId="14" borderId="5" xfId="0" applyNumberFormat="1" applyFont="1" applyFill="1" applyBorder="1" applyAlignment="1">
      <alignment vertical="center"/>
    </xf>
    <xf numFmtId="43" fontId="4" fillId="19" borderId="5" xfId="4" applyFont="1" applyFill="1" applyBorder="1">
      <alignment vertical="center"/>
    </xf>
    <xf numFmtId="179" fontId="6" fillId="9" borderId="5" xfId="0" quotePrefix="1" applyNumberFormat="1" applyFont="1" applyFill="1" applyBorder="1" applyAlignment="1">
      <alignment horizontal="center" vertical="center"/>
    </xf>
    <xf numFmtId="0" fontId="6" fillId="0" borderId="21" xfId="0" applyFont="1" applyBorder="1" applyAlignment="1">
      <alignment vertical="center"/>
    </xf>
    <xf numFmtId="0" fontId="6" fillId="0" borderId="31" xfId="0" applyFont="1" applyBorder="1" applyAlignment="1">
      <alignment vertical="center"/>
    </xf>
    <xf numFmtId="0" fontId="6" fillId="0" borderId="21" xfId="0" applyFont="1" applyBorder="1" applyAlignment="1">
      <alignment horizontal="left" vertical="center"/>
    </xf>
    <xf numFmtId="0" fontId="4" fillId="0" borderId="0" xfId="0" applyFont="1" applyAlignment="1">
      <alignment vertical="center" wrapText="1"/>
    </xf>
    <xf numFmtId="43" fontId="6" fillId="0" borderId="0" xfId="0" applyNumberFormat="1" applyFont="1" applyAlignment="1">
      <alignment vertical="center"/>
    </xf>
    <xf numFmtId="0" fontId="46" fillId="0" borderId="0" xfId="0" applyFont="1" applyFill="1" applyAlignment="1">
      <alignment vertical="center"/>
    </xf>
    <xf numFmtId="41" fontId="4" fillId="0" borderId="0" xfId="0" applyNumberFormat="1" applyFont="1" applyFill="1" applyAlignment="1">
      <alignment horizontal="center" vertical="center"/>
    </xf>
    <xf numFmtId="43" fontId="4" fillId="21" borderId="5" xfId="0" applyNumberFormat="1" applyFont="1" applyFill="1" applyBorder="1" applyAlignment="1">
      <alignment horizontal="right" vertical="top"/>
    </xf>
    <xf numFmtId="43" fontId="4" fillId="21" borderId="5" xfId="4" applyFont="1" applyFill="1" applyBorder="1" applyAlignment="1">
      <alignment horizontal="right" vertical="top"/>
    </xf>
    <xf numFmtId="0" fontId="6" fillId="0" borderId="8" xfId="0" applyFont="1" applyBorder="1" applyAlignment="1">
      <alignment vertical="center"/>
    </xf>
    <xf numFmtId="0" fontId="6" fillId="0" borderId="7" xfId="0" applyFont="1" applyBorder="1" applyAlignment="1">
      <alignment vertical="center"/>
    </xf>
    <xf numFmtId="0" fontId="25" fillId="0" borderId="34" xfId="0" applyFont="1" applyFill="1" applyBorder="1" applyAlignment="1">
      <alignment vertical="center"/>
    </xf>
    <xf numFmtId="0" fontId="6" fillId="0" borderId="8" xfId="0" applyFont="1" applyBorder="1" applyAlignment="1">
      <alignment horizontal="center" vertical="center"/>
    </xf>
    <xf numFmtId="0" fontId="71" fillId="2" borderId="35" xfId="0" applyFont="1" applyFill="1" applyBorder="1" applyAlignment="1">
      <alignment horizontal="center" vertical="center"/>
    </xf>
    <xf numFmtId="0" fontId="71" fillId="2" borderId="19" xfId="0" applyFont="1" applyFill="1" applyBorder="1" applyAlignment="1">
      <alignment horizontal="center" vertical="center"/>
    </xf>
    <xf numFmtId="0" fontId="71" fillId="2" borderId="13" xfId="0" applyFont="1" applyFill="1" applyBorder="1" applyAlignment="1">
      <alignment horizontal="center" vertical="center"/>
    </xf>
    <xf numFmtId="0" fontId="71" fillId="2" borderId="27" xfId="0" applyFont="1" applyFill="1" applyBorder="1" applyAlignment="1">
      <alignment horizontal="center" vertical="center"/>
    </xf>
    <xf numFmtId="0" fontId="72" fillId="2" borderId="35" xfId="0" applyFont="1" applyFill="1" applyBorder="1" applyAlignment="1">
      <alignment horizontal="center" vertical="center"/>
    </xf>
    <xf numFmtId="3" fontId="50" fillId="0" borderId="5" xfId="4" applyNumberFormat="1" applyFont="1" applyFill="1" applyBorder="1" applyAlignment="1">
      <alignment horizontal="right" vertical="center"/>
    </xf>
    <xf numFmtId="3" fontId="73" fillId="0" borderId="5" xfId="0" applyNumberFormat="1" applyFont="1" applyFill="1" applyBorder="1" applyAlignment="1">
      <alignment horizontal="right" vertical="center"/>
    </xf>
    <xf numFmtId="182" fontId="25" fillId="0" borderId="5" xfId="0" applyNumberFormat="1" applyFont="1" applyFill="1" applyBorder="1" applyAlignment="1">
      <alignment vertical="center"/>
    </xf>
    <xf numFmtId="182" fontId="6" fillId="0" borderId="21" xfId="0" applyNumberFormat="1" applyFont="1" applyFill="1" applyBorder="1" applyAlignment="1">
      <alignment horizontal="center" vertical="center"/>
    </xf>
    <xf numFmtId="43" fontId="4" fillId="21" borderId="5" xfId="4" applyFont="1" applyFill="1" applyBorder="1">
      <alignment vertical="center"/>
    </xf>
    <xf numFmtId="43" fontId="6" fillId="0" borderId="0" xfId="0" applyNumberFormat="1" applyFont="1" applyBorder="1" applyAlignment="1">
      <alignment vertical="center"/>
    </xf>
    <xf numFmtId="0" fontId="46" fillId="8" borderId="0" xfId="0" applyFont="1" applyFill="1" applyBorder="1" applyAlignment="1">
      <alignment vertical="center"/>
    </xf>
    <xf numFmtId="0" fontId="69" fillId="2" borderId="12" xfId="0" applyFont="1" applyFill="1" applyBorder="1" applyAlignment="1">
      <alignment horizontal="center" vertical="center"/>
    </xf>
    <xf numFmtId="0" fontId="2" fillId="0" borderId="14" xfId="0" applyFont="1" applyBorder="1" applyAlignment="1">
      <alignment horizontal="left" vertical="center"/>
    </xf>
    <xf numFmtId="43" fontId="5" fillId="14" borderId="5" xfId="4" applyFont="1" applyFill="1" applyBorder="1">
      <alignment vertical="center"/>
    </xf>
    <xf numFmtId="186" fontId="4" fillId="14" borderId="5" xfId="4" applyNumberFormat="1" applyFont="1" applyFill="1" applyBorder="1" applyAlignment="1">
      <alignment horizontal="center" vertical="center"/>
    </xf>
    <xf numFmtId="0" fontId="4" fillId="0" borderId="21" xfId="0" applyFont="1" applyFill="1" applyBorder="1">
      <alignment vertical="center"/>
    </xf>
    <xf numFmtId="0" fontId="5" fillId="0" borderId="0" xfId="0" applyFont="1" applyBorder="1">
      <alignment vertical="center"/>
    </xf>
    <xf numFmtId="43" fontId="46" fillId="19" borderId="5" xfId="4" applyFont="1" applyFill="1" applyBorder="1">
      <alignment vertical="center"/>
    </xf>
    <xf numFmtId="43" fontId="46" fillId="0" borderId="5" xfId="4" applyFont="1" applyFill="1" applyBorder="1">
      <alignment vertical="center"/>
    </xf>
    <xf numFmtId="180" fontId="46" fillId="0" borderId="5" xfId="4" applyNumberFormat="1" applyFont="1" applyFill="1" applyBorder="1">
      <alignment vertical="center"/>
    </xf>
    <xf numFmtId="0" fontId="6" fillId="0" borderId="31" xfId="0" applyFont="1" applyBorder="1">
      <alignment vertical="center"/>
    </xf>
    <xf numFmtId="0" fontId="6" fillId="9" borderId="5" xfId="0" quotePrefix="1" applyFont="1" applyFill="1" applyBorder="1" applyAlignment="1">
      <alignment horizontal="center" vertical="center"/>
    </xf>
    <xf numFmtId="0" fontId="4" fillId="14" borderId="5" xfId="0" applyFont="1" applyFill="1" applyBorder="1" applyAlignment="1">
      <alignment horizontal="right" vertical="center"/>
    </xf>
    <xf numFmtId="0" fontId="4" fillId="21" borderId="5" xfId="0" applyFont="1" applyFill="1" applyBorder="1" applyAlignment="1">
      <alignment horizontal="center" vertical="center"/>
    </xf>
    <xf numFmtId="0" fontId="6" fillId="14" borderId="5" xfId="0" applyFont="1" applyFill="1" applyBorder="1">
      <alignment vertical="center"/>
    </xf>
    <xf numFmtId="182" fontId="4" fillId="21" borderId="5" xfId="0" applyNumberFormat="1" applyFont="1" applyFill="1" applyBorder="1" applyAlignment="1">
      <alignment horizontal="center" vertical="center"/>
    </xf>
    <xf numFmtId="191" fontId="4" fillId="21" borderId="5" xfId="0" applyNumberFormat="1" applyFont="1" applyFill="1" applyBorder="1" applyAlignment="1">
      <alignment horizontal="center" vertical="center"/>
    </xf>
    <xf numFmtId="0" fontId="2" fillId="0" borderId="0" xfId="0" applyFont="1" applyBorder="1" applyAlignment="1">
      <alignment horizontal="left" vertical="center"/>
    </xf>
    <xf numFmtId="9" fontId="4" fillId="0" borderId="21" xfId="0" applyNumberFormat="1" applyFont="1" applyFill="1" applyBorder="1" applyAlignment="1">
      <alignment horizontal="left" vertical="center"/>
    </xf>
    <xf numFmtId="0" fontId="46" fillId="0" borderId="21" xfId="0" applyFont="1" applyFill="1" applyBorder="1" applyAlignment="1">
      <alignment horizontal="left" vertical="center"/>
    </xf>
    <xf numFmtId="10" fontId="4" fillId="0" borderId="21" xfId="0" applyNumberFormat="1" applyFont="1" applyFill="1" applyBorder="1" applyAlignment="1">
      <alignment horizontal="left" vertical="center"/>
    </xf>
    <xf numFmtId="43" fontId="4" fillId="0" borderId="21" xfId="4" applyFont="1" applyFill="1" applyBorder="1" applyAlignment="1">
      <alignment horizontal="left" vertical="center"/>
    </xf>
    <xf numFmtId="0" fontId="25" fillId="0" borderId="31" xfId="0" applyFont="1" applyBorder="1" applyAlignment="1">
      <alignment horizontal="right" vertical="center"/>
    </xf>
    <xf numFmtId="0" fontId="6" fillId="9" borderId="5" xfId="0" applyFont="1" applyFill="1" applyBorder="1" applyAlignment="1">
      <alignment horizontal="center" vertical="center"/>
    </xf>
    <xf numFmtId="0" fontId="4" fillId="9" borderId="5" xfId="0" applyFont="1" applyFill="1" applyBorder="1" applyAlignment="1">
      <alignment horizontal="right" vertical="center"/>
    </xf>
    <xf numFmtId="43" fontId="4" fillId="0" borderId="0" xfId="4" applyFont="1" applyBorder="1">
      <alignment vertical="center"/>
    </xf>
    <xf numFmtId="43" fontId="4" fillId="0" borderId="0" xfId="0" applyNumberFormat="1" applyFont="1" applyBorder="1">
      <alignment vertical="center"/>
    </xf>
    <xf numFmtId="0" fontId="7" fillId="0" borderId="0" xfId="0" applyFont="1" applyFill="1" applyBorder="1" applyAlignment="1">
      <alignment horizontal="center" vertical="center"/>
    </xf>
    <xf numFmtId="9" fontId="4" fillId="14" borderId="5" xfId="0" applyNumberFormat="1" applyFont="1" applyFill="1" applyBorder="1">
      <alignment vertical="center"/>
    </xf>
    <xf numFmtId="0" fontId="6" fillId="21" borderId="5" xfId="0" applyFont="1" applyFill="1" applyBorder="1" applyAlignment="1">
      <alignment horizontal="center" vertical="center"/>
    </xf>
    <xf numFmtId="0" fontId="6" fillId="0" borderId="31" xfId="0" applyFont="1" applyBorder="1" applyAlignment="1">
      <alignment horizontal="right" vertical="center"/>
    </xf>
    <xf numFmtId="43" fontId="4" fillId="21" borderId="5" xfId="4" applyFont="1" applyFill="1" applyBorder="1" applyAlignment="1">
      <alignment horizontal="center" vertical="center"/>
    </xf>
    <xf numFmtId="43" fontId="4" fillId="21" borderId="5" xfId="4" applyFont="1" applyFill="1" applyBorder="1" applyAlignment="1">
      <alignment horizontal="right" vertical="center"/>
    </xf>
    <xf numFmtId="186" fontId="6" fillId="14" borderId="5" xfId="4" applyNumberFormat="1" applyFont="1" applyFill="1" applyBorder="1">
      <alignment vertical="center"/>
    </xf>
    <xf numFmtId="0" fontId="16" fillId="0" borderId="0" xfId="1" applyFont="1" applyFill="1">
      <alignment vertical="center"/>
    </xf>
    <xf numFmtId="0" fontId="17" fillId="0" borderId="0" xfId="1" applyFont="1" applyFill="1">
      <alignment vertical="center"/>
    </xf>
    <xf numFmtId="0" fontId="18" fillId="0" borderId="0" xfId="0" applyFont="1" applyFill="1">
      <alignment vertical="center"/>
    </xf>
    <xf numFmtId="0" fontId="0" fillId="0" borderId="0" xfId="0" applyFill="1">
      <alignment vertical="center"/>
    </xf>
    <xf numFmtId="0" fontId="20" fillId="0" borderId="5" xfId="0" applyFont="1" applyBorder="1" applyAlignment="1">
      <alignment horizontal="left" vertical="top" wrapText="1"/>
    </xf>
    <xf numFmtId="0" fontId="20" fillId="0" borderId="5" xfId="0" applyFont="1" applyFill="1" applyBorder="1" applyAlignment="1">
      <alignment horizontal="left" vertical="top" wrapText="1"/>
    </xf>
    <xf numFmtId="0" fontId="4" fillId="9" borderId="5"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Fill="1" applyBorder="1" applyAlignment="1">
      <alignment horizontal="right" vertical="center"/>
    </xf>
    <xf numFmtId="0" fontId="20" fillId="0" borderId="5" xfId="0" applyFont="1" applyFill="1" applyBorder="1" applyAlignment="1">
      <alignment horizontal="left" vertical="center" wrapText="1"/>
    </xf>
    <xf numFmtId="0" fontId="20" fillId="0" borderId="5" xfId="0" applyFont="1" applyBorder="1" applyAlignment="1">
      <alignment horizontal="left" vertical="center" wrapText="1"/>
    </xf>
    <xf numFmtId="0" fontId="20" fillId="0" borderId="5" xfId="0" applyFont="1" applyBorder="1" applyAlignment="1">
      <alignment horizontal="center" vertical="center" wrapText="1"/>
    </xf>
    <xf numFmtId="0" fontId="7" fillId="2" borderId="0" xfId="0" applyFont="1" applyFill="1" applyBorder="1" applyAlignment="1">
      <alignment horizontal="center" vertical="center"/>
    </xf>
    <xf numFmtId="0" fontId="7" fillId="2" borderId="26" xfId="0" applyFont="1" applyFill="1" applyBorder="1" applyAlignment="1">
      <alignment horizontal="center" vertical="center"/>
    </xf>
    <xf numFmtId="0" fontId="4" fillId="0" borderId="22" xfId="0" applyFont="1" applyFill="1" applyBorder="1" applyAlignment="1">
      <alignment vertical="center"/>
    </xf>
    <xf numFmtId="0" fontId="4" fillId="0" borderId="22" xfId="0" applyFont="1" applyFill="1" applyBorder="1" applyAlignment="1">
      <alignment horizontal="left" vertical="center" wrapText="1"/>
    </xf>
    <xf numFmtId="9" fontId="4" fillId="3" borderId="23" xfId="0" applyNumberFormat="1" applyFont="1" applyFill="1" applyBorder="1" applyAlignment="1">
      <alignment horizontal="right" vertical="center"/>
    </xf>
    <xf numFmtId="43" fontId="4" fillId="0" borderId="22" xfId="4" applyFont="1" applyBorder="1">
      <alignment vertical="center"/>
    </xf>
    <xf numFmtId="0" fontId="5" fillId="0" borderId="5" xfId="0" applyFont="1" applyBorder="1" applyAlignment="1">
      <alignment vertical="center" wrapText="1"/>
    </xf>
    <xf numFmtId="0" fontId="7" fillId="2" borderId="29" xfId="0" applyFont="1" applyFill="1" applyBorder="1" applyAlignment="1">
      <alignment horizontal="center" vertical="center"/>
    </xf>
    <xf numFmtId="0" fontId="6" fillId="0" borderId="19" xfId="0" applyFont="1" applyBorder="1" applyAlignment="1">
      <alignment horizontal="left" vertical="center"/>
    </xf>
    <xf numFmtId="0" fontId="4" fillId="0" borderId="19" xfId="0" applyFont="1" applyBorder="1" applyAlignment="1">
      <alignment horizontal="left" vertical="center"/>
    </xf>
    <xf numFmtId="185" fontId="4" fillId="0" borderId="19" xfId="0" applyNumberFormat="1" applyFont="1" applyBorder="1" applyAlignment="1">
      <alignment horizontal="left" vertical="center"/>
    </xf>
    <xf numFmtId="0" fontId="6" fillId="0" borderId="35" xfId="0" applyFont="1" applyBorder="1" applyAlignment="1">
      <alignment horizontal="left" vertical="center"/>
    </xf>
    <xf numFmtId="0" fontId="6" fillId="0" borderId="31" xfId="0" applyFont="1" applyBorder="1" applyAlignment="1">
      <alignment horizontal="left" vertical="center"/>
    </xf>
    <xf numFmtId="0" fontId="8" fillId="0" borderId="5" xfId="0" applyFont="1" applyFill="1" applyBorder="1" applyAlignment="1">
      <alignment horizontal="center" vertical="center"/>
    </xf>
    <xf numFmtId="0" fontId="8" fillId="0" borderId="5" xfId="0" applyFont="1" applyFill="1" applyBorder="1" applyAlignment="1">
      <alignment horizontal="center" vertical="top"/>
    </xf>
    <xf numFmtId="0" fontId="20" fillId="0" borderId="5" xfId="0" applyFont="1" applyBorder="1" applyAlignment="1">
      <alignment horizontal="center" vertical="top" wrapText="1"/>
    </xf>
    <xf numFmtId="180" fontId="46" fillId="21" borderId="5" xfId="0" applyNumberFormat="1" applyFont="1" applyFill="1" applyBorder="1" applyAlignment="1">
      <alignment horizontal="right" vertical="center"/>
    </xf>
    <xf numFmtId="43" fontId="5" fillId="21" borderId="31" xfId="0" applyNumberFormat="1" applyFont="1" applyFill="1" applyBorder="1">
      <alignment vertical="center"/>
    </xf>
    <xf numFmtId="43" fontId="25" fillId="21" borderId="5" xfId="4" applyFont="1" applyFill="1" applyBorder="1">
      <alignment vertical="center"/>
    </xf>
    <xf numFmtId="180" fontId="25" fillId="21" borderId="0" xfId="4" applyNumberFormat="1" applyFont="1" applyFill="1" applyBorder="1" applyAlignment="1">
      <alignment horizontal="right" vertical="center"/>
    </xf>
    <xf numFmtId="180" fontId="25" fillId="21" borderId="5" xfId="4" applyNumberFormat="1" applyFont="1" applyFill="1" applyBorder="1" applyAlignment="1">
      <alignment horizontal="center" vertical="center"/>
    </xf>
    <xf numFmtId="0" fontId="5" fillId="0" borderId="0" xfId="0" applyFont="1" applyFill="1" applyBorder="1">
      <alignment vertical="center"/>
    </xf>
    <xf numFmtId="0" fontId="4" fillId="9" borderId="5" xfId="0" applyFont="1" applyFill="1" applyBorder="1" applyAlignment="1">
      <alignment horizontal="center" vertical="center"/>
    </xf>
    <xf numFmtId="0" fontId="4" fillId="0" borderId="5" xfId="0" applyFont="1" applyFill="1" applyBorder="1" applyAlignment="1">
      <alignment horizontal="center" vertical="center"/>
    </xf>
    <xf numFmtId="0" fontId="20" fillId="0" borderId="27" xfId="0" applyFont="1" applyBorder="1" applyAlignment="1">
      <alignment horizontal="left" vertical="center" wrapText="1"/>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4" fillId="9" borderId="5" xfId="0" applyFont="1" applyFill="1" applyBorder="1" applyAlignment="1">
      <alignment horizontal="center" vertical="center"/>
    </xf>
    <xf numFmtId="0" fontId="4" fillId="0" borderId="5" xfId="0" applyFont="1" applyFill="1" applyBorder="1" applyAlignment="1">
      <alignment horizontal="right" vertical="center"/>
    </xf>
    <xf numFmtId="9" fontId="4" fillId="3" borderId="5" xfId="0" applyNumberFormat="1" applyFont="1" applyFill="1" applyBorder="1" applyAlignment="1">
      <alignment horizontal="right" vertical="center"/>
    </xf>
    <xf numFmtId="0" fontId="20" fillId="0" borderId="21" xfId="0" applyFont="1" applyBorder="1" applyAlignment="1">
      <alignment horizontal="left" vertical="center" wrapText="1"/>
    </xf>
    <xf numFmtId="0" fontId="20" fillId="0" borderId="5" xfId="0" applyFont="1" applyBorder="1" applyAlignment="1">
      <alignment horizontal="center" vertical="center" wrapText="1"/>
    </xf>
    <xf numFmtId="0" fontId="20" fillId="0" borderId="5" xfId="0" applyFont="1" applyBorder="1" applyAlignment="1">
      <alignment horizontal="center" vertical="center"/>
    </xf>
    <xf numFmtId="0" fontId="32" fillId="0" borderId="0" xfId="0" applyFont="1" applyBorder="1" applyAlignment="1">
      <alignment horizontal="left" vertical="center" wrapText="1"/>
    </xf>
    <xf numFmtId="0" fontId="33" fillId="0" borderId="0" xfId="0" applyFont="1" applyBorder="1" applyAlignment="1">
      <alignment horizontal="left" vertical="center" wrapText="1"/>
    </xf>
    <xf numFmtId="0" fontId="31" fillId="0" borderId="0" xfId="0" applyFont="1" applyBorder="1" applyAlignment="1">
      <alignment horizontal="left" vertical="center"/>
    </xf>
    <xf numFmtId="0" fontId="31" fillId="0" borderId="0" xfId="0" applyFont="1" applyBorder="1" applyAlignment="1">
      <alignment vertical="center" wrapText="1"/>
    </xf>
    <xf numFmtId="0" fontId="31" fillId="8" borderId="5" xfId="0" applyNumberFormat="1" applyFont="1" applyFill="1" applyBorder="1" applyAlignment="1">
      <alignment horizontal="center" vertical="center" wrapText="1"/>
    </xf>
    <xf numFmtId="41" fontId="4" fillId="0" borderId="5" xfId="0" applyNumberFormat="1" applyFont="1" applyFill="1" applyBorder="1" applyAlignment="1">
      <alignment horizontal="center" vertical="center"/>
    </xf>
    <xf numFmtId="0" fontId="31" fillId="23" borderId="5" xfId="0" applyNumberFormat="1" applyFont="1" applyFill="1" applyBorder="1" applyAlignment="1">
      <alignment horizontal="center" vertical="center" wrapText="1"/>
    </xf>
    <xf numFmtId="0" fontId="31" fillId="0" borderId="5" xfId="0" applyFont="1" applyBorder="1" applyAlignment="1">
      <alignment horizontal="center" vertical="center"/>
    </xf>
    <xf numFmtId="0" fontId="31" fillId="8" borderId="5" xfId="0" applyFont="1" applyFill="1" applyBorder="1" applyAlignment="1">
      <alignment horizontal="center" vertical="center"/>
    </xf>
    <xf numFmtId="0" fontId="31" fillId="23" borderId="5" xfId="0" applyFont="1" applyFill="1" applyBorder="1" applyAlignment="1">
      <alignment horizontal="center" vertical="center"/>
    </xf>
    <xf numFmtId="0" fontId="31" fillId="23" borderId="5" xfId="0" applyFont="1" applyFill="1" applyBorder="1" applyAlignment="1">
      <alignment horizontal="left" vertical="center" wrapText="1"/>
    </xf>
    <xf numFmtId="0" fontId="31" fillId="8" borderId="5" xfId="0" applyFont="1" applyFill="1" applyBorder="1" applyAlignment="1">
      <alignment horizontal="left" vertical="center" wrapText="1"/>
    </xf>
    <xf numFmtId="43" fontId="6" fillId="21" borderId="5" xfId="0" applyNumberFormat="1" applyFont="1" applyFill="1" applyBorder="1">
      <alignment vertical="center"/>
    </xf>
    <xf numFmtId="43" fontId="4" fillId="0" borderId="21" xfId="4" applyFont="1" applyBorder="1">
      <alignment vertical="center"/>
    </xf>
    <xf numFmtId="0" fontId="32" fillId="0" borderId="5" xfId="0" applyFont="1" applyBorder="1" applyAlignment="1">
      <alignment horizontal="center" vertical="center" wrapText="1"/>
    </xf>
    <xf numFmtId="43" fontId="4" fillId="21" borderId="5" xfId="4" applyFont="1" applyFill="1" applyBorder="1" applyAlignment="1">
      <alignment vertical="center"/>
    </xf>
    <xf numFmtId="0" fontId="2" fillId="0" borderId="0" xfId="0" applyFont="1" applyBorder="1" applyAlignment="1">
      <alignment vertical="center"/>
    </xf>
    <xf numFmtId="0" fontId="6" fillId="9" borderId="5" xfId="0" applyFont="1" applyFill="1" applyBorder="1" applyAlignment="1">
      <alignment horizontal="center" vertical="center" wrapText="1"/>
    </xf>
    <xf numFmtId="41" fontId="4" fillId="9" borderId="5" xfId="4" applyNumberFormat="1" applyFont="1" applyFill="1" applyBorder="1" applyAlignment="1">
      <alignment horizontal="center" vertical="center"/>
    </xf>
    <xf numFmtId="0" fontId="6" fillId="0" borderId="21" xfId="0" applyFont="1" applyBorder="1" applyAlignment="1">
      <alignment horizontal="center" vertical="center"/>
    </xf>
    <xf numFmtId="0" fontId="6" fillId="0" borderId="31" xfId="0" applyFont="1" applyBorder="1" applyAlignment="1">
      <alignment horizontal="center" vertical="center"/>
    </xf>
    <xf numFmtId="0" fontId="4" fillId="9" borderId="0" xfId="0" applyFont="1" applyFill="1" applyAlignment="1">
      <alignment horizontal="center" vertical="top"/>
    </xf>
    <xf numFmtId="0" fontId="7" fillId="2" borderId="0" xfId="0" applyFont="1" applyFill="1" applyBorder="1" applyAlignment="1">
      <alignment horizontal="center" vertical="center" wrapText="1"/>
    </xf>
    <xf numFmtId="0" fontId="48" fillId="2" borderId="19" xfId="0" applyFont="1" applyFill="1" applyBorder="1" applyAlignment="1">
      <alignment vertical="center"/>
    </xf>
    <xf numFmtId="43" fontId="5" fillId="24" borderId="5" xfId="4" applyFont="1" applyFill="1" applyBorder="1" applyAlignment="1">
      <alignment horizontal="center" vertical="center"/>
    </xf>
    <xf numFmtId="43" fontId="5" fillId="0" borderId="5" xfId="4" applyFont="1" applyFill="1" applyBorder="1" applyAlignment="1">
      <alignment horizontal="center" vertical="center"/>
    </xf>
    <xf numFmtId="9" fontId="5" fillId="0" borderId="5" xfId="0" applyNumberFormat="1" applyFont="1" applyFill="1" applyBorder="1" applyAlignment="1">
      <alignment horizontal="center" vertical="center"/>
    </xf>
    <xf numFmtId="49" fontId="5" fillId="0" borderId="5" xfId="0" applyNumberFormat="1" applyFont="1" applyFill="1" applyBorder="1" applyAlignment="1">
      <alignment horizontal="center" vertical="center"/>
    </xf>
    <xf numFmtId="0" fontId="5" fillId="25" borderId="5" xfId="0" applyFont="1" applyFill="1" applyBorder="1" applyAlignment="1">
      <alignment horizontal="center" vertical="center"/>
    </xf>
    <xf numFmtId="0" fontId="5" fillId="0" borderId="5" xfId="0" applyFont="1" applyFill="1" applyBorder="1" applyAlignment="1">
      <alignment horizontal="center" vertical="center"/>
    </xf>
    <xf numFmtId="10" fontId="5" fillId="0" borderId="5" xfId="0" applyNumberFormat="1" applyFont="1" applyFill="1" applyBorder="1" applyAlignment="1">
      <alignment horizontal="center" vertical="center"/>
    </xf>
    <xf numFmtId="0" fontId="0" fillId="0" borderId="0" xfId="0" applyFill="1" applyAlignment="1">
      <alignment horizontal="center" vertical="center"/>
    </xf>
    <xf numFmtId="0" fontId="7" fillId="2" borderId="19" xfId="0" applyFont="1" applyFill="1" applyBorder="1" applyAlignment="1">
      <alignment horizontal="center" vertical="center"/>
    </xf>
    <xf numFmtId="183" fontId="4" fillId="0" borderId="5" xfId="4" applyNumberFormat="1" applyFont="1" applyBorder="1" applyAlignment="1">
      <alignment vertical="top"/>
    </xf>
    <xf numFmtId="192" fontId="4" fillId="0" borderId="5" xfId="4" applyNumberFormat="1" applyFont="1" applyBorder="1" applyAlignment="1">
      <alignment vertical="top"/>
    </xf>
    <xf numFmtId="0" fontId="2" fillId="0" borderId="5" xfId="0" applyFont="1" applyFill="1" applyBorder="1" applyAlignment="1">
      <alignment horizontal="center" vertical="center"/>
    </xf>
    <xf numFmtId="0" fontId="2" fillId="0" borderId="12" xfId="0" applyFont="1" applyFill="1" applyBorder="1" applyAlignment="1">
      <alignment horizontal="center" vertical="center"/>
    </xf>
    <xf numFmtId="0" fontId="4" fillId="9" borderId="5" xfId="0" applyFont="1" applyFill="1" applyBorder="1" applyAlignment="1">
      <alignment horizontal="center" vertical="center"/>
    </xf>
    <xf numFmtId="43" fontId="4" fillId="0" borderId="22" xfId="0" applyNumberFormat="1" applyFont="1" applyFill="1" applyBorder="1" applyAlignment="1">
      <alignment horizontal="center" vertical="center"/>
    </xf>
    <xf numFmtId="0" fontId="4" fillId="0" borderId="22" xfId="0" applyFont="1" applyBorder="1" applyAlignment="1">
      <alignment horizontal="center" vertical="center"/>
    </xf>
    <xf numFmtId="179" fontId="4" fillId="0" borderId="5" xfId="0" applyNumberFormat="1" applyFont="1" applyFill="1" applyBorder="1" applyAlignment="1">
      <alignment horizontal="center" vertical="center"/>
    </xf>
    <xf numFmtId="0" fontId="4" fillId="0" borderId="22" xfId="0" applyFont="1" applyFill="1" applyBorder="1" applyAlignment="1">
      <alignment horizontal="center" vertical="center"/>
    </xf>
    <xf numFmtId="0" fontId="20" fillId="0" borderId="22" xfId="0" applyFont="1" applyBorder="1" applyAlignment="1">
      <alignment horizontal="center" vertical="center" wrapText="1"/>
    </xf>
    <xf numFmtId="43" fontId="4" fillId="21" borderId="5" xfId="4" applyFont="1" applyFill="1" applyBorder="1" applyAlignment="1">
      <alignment vertical="top"/>
    </xf>
    <xf numFmtId="192" fontId="4" fillId="21" borderId="5" xfId="4" applyNumberFormat="1" applyFont="1" applyFill="1" applyBorder="1" applyAlignment="1">
      <alignment vertical="top"/>
    </xf>
    <xf numFmtId="183" fontId="4" fillId="21" borderId="5" xfId="4" applyNumberFormat="1" applyFont="1" applyFill="1" applyBorder="1" applyAlignment="1">
      <alignment vertical="top"/>
    </xf>
    <xf numFmtId="43" fontId="6" fillId="21" borderId="5" xfId="0" applyNumberFormat="1" applyFont="1" applyFill="1" applyBorder="1" applyAlignment="1">
      <alignment vertical="top"/>
    </xf>
    <xf numFmtId="43" fontId="6" fillId="21" borderId="5" xfId="4" applyFont="1" applyFill="1" applyBorder="1" applyAlignment="1">
      <alignment vertical="top"/>
    </xf>
    <xf numFmtId="192" fontId="6" fillId="21" borderId="5" xfId="4" applyNumberFormat="1" applyFont="1" applyFill="1" applyBorder="1" applyAlignment="1">
      <alignment vertical="top"/>
    </xf>
    <xf numFmtId="183" fontId="6" fillId="21" borderId="5" xfId="4" applyNumberFormat="1" applyFont="1" applyFill="1" applyBorder="1" applyAlignment="1">
      <alignment vertical="top"/>
    </xf>
    <xf numFmtId="43" fontId="25" fillId="21" borderId="5" xfId="4" applyFont="1" applyFill="1" applyBorder="1" applyAlignment="1">
      <alignment horizontal="center" vertical="center"/>
    </xf>
    <xf numFmtId="43" fontId="6" fillId="21" borderId="5" xfId="0" applyNumberFormat="1" applyFont="1" applyFill="1" applyBorder="1" applyAlignment="1">
      <alignment horizontal="right" vertical="center"/>
    </xf>
    <xf numFmtId="0" fontId="46" fillId="8" borderId="31" xfId="0" applyFont="1" applyFill="1" applyBorder="1" applyAlignment="1">
      <alignment vertical="center"/>
    </xf>
    <xf numFmtId="43" fontId="25" fillId="21" borderId="22" xfId="0" applyNumberFormat="1" applyFont="1" applyFill="1" applyBorder="1" applyAlignment="1">
      <alignment vertical="center"/>
    </xf>
    <xf numFmtId="43" fontId="25" fillId="21" borderId="5" xfId="0" applyNumberFormat="1" applyFont="1" applyFill="1" applyBorder="1" applyAlignment="1">
      <alignment vertical="center"/>
    </xf>
    <xf numFmtId="43" fontId="6" fillId="21" borderId="5" xfId="0" applyNumberFormat="1" applyFont="1" applyFill="1" applyBorder="1" applyAlignment="1">
      <alignment vertical="center"/>
    </xf>
    <xf numFmtId="43" fontId="6" fillId="21" borderId="5" xfId="4" applyFont="1" applyFill="1" applyBorder="1">
      <alignment vertical="center"/>
    </xf>
    <xf numFmtId="0" fontId="6" fillId="21" borderId="5" xfId="0" applyFont="1" applyFill="1" applyBorder="1" applyAlignment="1">
      <alignment horizontal="right" vertical="center"/>
    </xf>
    <xf numFmtId="0" fontId="4" fillId="0" borderId="0" xfId="0" applyFont="1" applyFill="1" applyBorder="1" applyAlignment="1">
      <alignment horizontal="center" vertical="center"/>
    </xf>
    <xf numFmtId="0" fontId="31" fillId="0" borderId="0" xfId="0" applyNumberFormat="1" applyFont="1" applyBorder="1" applyAlignment="1">
      <alignment horizontal="center" vertical="center" wrapText="1"/>
    </xf>
    <xf numFmtId="0" fontId="32" fillId="21" borderId="5" xfId="0" applyFont="1" applyFill="1" applyBorder="1" applyAlignment="1">
      <alignment horizontal="center" vertical="center" wrapText="1"/>
    </xf>
    <xf numFmtId="0" fontId="9" fillId="0" borderId="0" xfId="2">
      <alignment vertical="center"/>
    </xf>
    <xf numFmtId="43" fontId="35" fillId="21" borderId="5" xfId="0" applyNumberFormat="1" applyFont="1" applyFill="1" applyBorder="1" applyAlignment="1">
      <alignment vertical="center"/>
    </xf>
    <xf numFmtId="43" fontId="35" fillId="16" borderId="5" xfId="4" applyFont="1" applyFill="1" applyBorder="1" applyAlignment="1">
      <alignment vertical="center"/>
    </xf>
    <xf numFmtId="0" fontId="35" fillId="21" borderId="5" xfId="0" applyFont="1" applyFill="1" applyBorder="1" applyAlignment="1">
      <alignment horizontal="center" vertical="center" wrapText="1"/>
    </xf>
    <xf numFmtId="0" fontId="26" fillId="0" borderId="0"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44" fillId="0" borderId="0" xfId="0" applyFont="1" applyFill="1" applyBorder="1" applyAlignment="1">
      <alignment horizontal="center" vertical="center"/>
    </xf>
    <xf numFmtId="0" fontId="0" fillId="0" borderId="0" xfId="0" applyFill="1" applyBorder="1" applyAlignment="1">
      <alignment horizontal="center" vertical="center"/>
    </xf>
    <xf numFmtId="43" fontId="20" fillId="0" borderId="0" xfId="4" applyFont="1" applyBorder="1">
      <alignment vertical="center"/>
    </xf>
    <xf numFmtId="0" fontId="9" fillId="0" borderId="0" xfId="2" applyFill="1" applyAlignment="1">
      <alignment vertical="top"/>
    </xf>
    <xf numFmtId="43" fontId="5" fillId="24" borderId="12" xfId="4" applyFont="1" applyFill="1" applyBorder="1" applyAlignment="1">
      <alignment horizontal="center" vertical="center"/>
    </xf>
    <xf numFmtId="43" fontId="5" fillId="0" borderId="12" xfId="4" applyFont="1" applyFill="1" applyBorder="1" applyAlignment="1">
      <alignment horizontal="center" vertical="center"/>
    </xf>
    <xf numFmtId="9" fontId="5" fillId="0" borderId="12" xfId="0" applyNumberFormat="1" applyFont="1" applyFill="1" applyBorder="1" applyAlignment="1">
      <alignment horizontal="center" vertical="center"/>
    </xf>
    <xf numFmtId="49" fontId="5" fillId="0" borderId="12" xfId="0" applyNumberFormat="1" applyFont="1" applyFill="1" applyBorder="1" applyAlignment="1">
      <alignment horizontal="center" vertical="center"/>
    </xf>
    <xf numFmtId="0" fontId="7" fillId="28" borderId="46" xfId="0" applyFont="1" applyFill="1" applyBorder="1" applyAlignment="1">
      <alignment horizontal="center" vertical="center"/>
    </xf>
    <xf numFmtId="0" fontId="7" fillId="2" borderId="12" xfId="0" applyFont="1" applyFill="1" applyBorder="1">
      <alignment vertical="center"/>
    </xf>
    <xf numFmtId="0" fontId="7" fillId="2" borderId="5" xfId="0" applyFont="1" applyFill="1" applyBorder="1">
      <alignment vertical="center"/>
    </xf>
    <xf numFmtId="49" fontId="5" fillId="14" borderId="5" xfId="0" applyNumberFormat="1" applyFont="1" applyFill="1" applyBorder="1" applyAlignment="1">
      <alignment horizontal="center" vertical="center"/>
    </xf>
    <xf numFmtId="0" fontId="7" fillId="29" borderId="5" xfId="0" applyFont="1" applyFill="1" applyBorder="1">
      <alignment vertical="center"/>
    </xf>
    <xf numFmtId="0" fontId="9" fillId="0" borderId="0" xfId="2" applyFill="1">
      <alignment vertical="center"/>
    </xf>
    <xf numFmtId="0" fontId="9" fillId="0" borderId="0" xfId="2" applyFill="1" applyAlignment="1">
      <alignment vertical="center"/>
    </xf>
    <xf numFmtId="0" fontId="9" fillId="0" borderId="0" xfId="2" applyFill="1" applyAlignment="1">
      <alignment horizontal="left" vertical="center"/>
    </xf>
    <xf numFmtId="0" fontId="9" fillId="0" borderId="0" xfId="2" applyBorder="1" applyAlignment="1">
      <alignment vertical="center"/>
    </xf>
    <xf numFmtId="43" fontId="20" fillId="21" borderId="5" xfId="4" applyFont="1" applyFill="1" applyBorder="1">
      <alignment vertical="center"/>
    </xf>
    <xf numFmtId="0" fontId="21" fillId="0" borderId="7" xfId="0" applyFont="1" applyBorder="1" applyAlignment="1">
      <alignment vertical="center"/>
    </xf>
    <xf numFmtId="43" fontId="4" fillId="0" borderId="0" xfId="0" applyNumberFormat="1" applyFont="1" applyFill="1" applyBorder="1" applyAlignment="1">
      <alignment horizontal="center" vertical="center"/>
    </xf>
    <xf numFmtId="0" fontId="0" fillId="0" borderId="0" xfId="0" applyFill="1" applyBorder="1" applyAlignment="1">
      <alignment vertical="center"/>
    </xf>
    <xf numFmtId="182" fontId="0" fillId="0" borderId="5" xfId="0" applyNumberFormat="1" applyFill="1" applyBorder="1" applyAlignment="1">
      <alignment horizontal="center" vertical="center"/>
    </xf>
    <xf numFmtId="0" fontId="76" fillId="0" borderId="0" xfId="0" applyFont="1" applyFill="1" applyAlignment="1">
      <alignment horizontal="center" vertical="center"/>
    </xf>
    <xf numFmtId="0" fontId="1" fillId="14" borderId="0" xfId="1" applyFill="1">
      <alignment vertical="center"/>
    </xf>
    <xf numFmtId="193" fontId="4" fillId="16" borderId="2" xfId="1" applyNumberFormat="1" applyFont="1" applyFill="1" applyBorder="1" applyAlignment="1">
      <alignment horizontal="left" wrapText="1"/>
    </xf>
    <xf numFmtId="0" fontId="4" fillId="16" borderId="2" xfId="1" applyFont="1" applyFill="1" applyBorder="1" applyAlignment="1">
      <alignment vertical="top" wrapText="1"/>
    </xf>
    <xf numFmtId="0" fontId="4" fillId="3" borderId="1" xfId="1" applyFont="1" applyFill="1" applyBorder="1" applyAlignment="1">
      <alignment vertical="top" wrapText="1"/>
    </xf>
    <xf numFmtId="0" fontId="9" fillId="0" borderId="0" xfId="2" applyFill="1" applyAlignment="1">
      <alignment vertical="top" wrapText="1"/>
    </xf>
    <xf numFmtId="0" fontId="9" fillId="0" borderId="0" xfId="2" applyAlignment="1">
      <alignment horizontal="left" vertical="center"/>
    </xf>
    <xf numFmtId="43" fontId="0" fillId="30" borderId="22" xfId="0" applyNumberFormat="1" applyFill="1" applyBorder="1" applyAlignment="1">
      <alignment horizontal="center" vertical="center"/>
    </xf>
    <xf numFmtId="43" fontId="6" fillId="21" borderId="31" xfId="0" applyNumberFormat="1" applyFont="1" applyFill="1" applyBorder="1">
      <alignment vertical="center"/>
    </xf>
    <xf numFmtId="43" fontId="4" fillId="0" borderId="22" xfId="4" applyFont="1" applyFill="1" applyBorder="1" applyAlignment="1">
      <alignment vertical="top"/>
    </xf>
    <xf numFmtId="182" fontId="6" fillId="21" borderId="5" xfId="0" applyNumberFormat="1" applyFont="1" applyFill="1" applyBorder="1" applyAlignment="1">
      <alignment vertical="center"/>
    </xf>
    <xf numFmtId="43" fontId="6" fillId="21" borderId="21" xfId="0" applyNumberFormat="1" applyFont="1" applyFill="1" applyBorder="1" applyAlignment="1">
      <alignment vertical="center"/>
    </xf>
    <xf numFmtId="43" fontId="4" fillId="21" borderId="22" xfId="4" applyFont="1" applyFill="1" applyBorder="1" applyAlignment="1">
      <alignment horizontal="center" vertical="center"/>
    </xf>
    <xf numFmtId="43" fontId="4" fillId="0" borderId="12" xfId="4" applyFont="1" applyFill="1" applyBorder="1" applyAlignment="1">
      <alignment vertical="top"/>
    </xf>
    <xf numFmtId="0" fontId="44" fillId="0" borderId="5" xfId="0" applyFont="1" applyBorder="1" applyAlignment="1">
      <alignment horizontal="center" vertical="center" wrapText="1"/>
    </xf>
    <xf numFmtId="0" fontId="6" fillId="0" borderId="22" xfId="0" applyFont="1" applyBorder="1">
      <alignment vertical="center"/>
    </xf>
    <xf numFmtId="49" fontId="4" fillId="9" borderId="22" xfId="0" applyNumberFormat="1" applyFont="1" applyFill="1" applyBorder="1" applyAlignment="1">
      <alignment horizontal="center" vertical="center"/>
    </xf>
    <xf numFmtId="0" fontId="5" fillId="0" borderId="22" xfId="0" applyFont="1" applyBorder="1">
      <alignment vertical="center"/>
    </xf>
    <xf numFmtId="9" fontId="4" fillId="3" borderId="22" xfId="0" applyNumberFormat="1" applyFont="1" applyFill="1" applyBorder="1" applyAlignment="1">
      <alignment horizontal="right" vertical="center"/>
    </xf>
    <xf numFmtId="0" fontId="6" fillId="0" borderId="47" xfId="0" applyFont="1" applyBorder="1">
      <alignment vertical="center"/>
    </xf>
    <xf numFmtId="0" fontId="63" fillId="0" borderId="48" xfId="0" applyFont="1" applyBorder="1">
      <alignment vertical="center"/>
    </xf>
    <xf numFmtId="0" fontId="4" fillId="0" borderId="48" xfId="0" applyFont="1" applyBorder="1" applyAlignment="1">
      <alignment horizontal="center" vertical="center"/>
    </xf>
    <xf numFmtId="0" fontId="4" fillId="0" borderId="48" xfId="0" applyFont="1" applyBorder="1">
      <alignment vertical="center"/>
    </xf>
    <xf numFmtId="0" fontId="4" fillId="9" borderId="48" xfId="0" applyFont="1" applyFill="1" applyBorder="1" applyAlignment="1">
      <alignment horizontal="center" vertical="center"/>
    </xf>
    <xf numFmtId="0" fontId="5" fillId="0" borderId="48" xfId="0" applyFont="1" applyBorder="1">
      <alignment vertical="center"/>
    </xf>
    <xf numFmtId="0" fontId="4" fillId="0" borderId="49" xfId="0" applyFont="1" applyBorder="1">
      <alignment vertical="center"/>
    </xf>
    <xf numFmtId="0" fontId="4" fillId="21" borderId="48" xfId="0" applyFont="1" applyFill="1" applyBorder="1" applyAlignment="1">
      <alignment horizontal="center" vertical="center"/>
    </xf>
    <xf numFmtId="43" fontId="4" fillId="0" borderId="48" xfId="4" applyFont="1" applyFill="1" applyBorder="1" applyAlignment="1">
      <alignment vertical="top"/>
    </xf>
    <xf numFmtId="43" fontId="4" fillId="0" borderId="48" xfId="0" applyNumberFormat="1" applyFont="1" applyBorder="1" applyAlignment="1">
      <alignment horizontal="center" vertical="center"/>
    </xf>
    <xf numFmtId="43" fontId="4" fillId="21" borderId="48" xfId="0" applyNumberFormat="1" applyFont="1" applyFill="1" applyBorder="1" applyAlignment="1">
      <alignment horizontal="center" vertical="center"/>
    </xf>
    <xf numFmtId="43" fontId="4" fillId="21" borderId="50" xfId="0" applyNumberFormat="1" applyFont="1" applyFill="1" applyBorder="1" applyAlignment="1">
      <alignment horizontal="center" vertical="center"/>
    </xf>
    <xf numFmtId="0" fontId="4" fillId="0" borderId="51" xfId="0" applyFont="1" applyFill="1" applyBorder="1">
      <alignment vertical="center"/>
    </xf>
    <xf numFmtId="43" fontId="4" fillId="21" borderId="52" xfId="0" applyNumberFormat="1" applyFont="1" applyFill="1" applyBorder="1" applyAlignment="1">
      <alignment horizontal="center" vertical="center"/>
    </xf>
    <xf numFmtId="0" fontId="4" fillId="0" borderId="53" xfId="0" applyFont="1" applyFill="1" applyBorder="1">
      <alignment vertical="center"/>
    </xf>
    <xf numFmtId="0" fontId="4" fillId="0" borderId="54" xfId="0" applyFont="1" applyBorder="1">
      <alignment vertical="center"/>
    </xf>
    <xf numFmtId="0" fontId="4" fillId="0" borderId="54" xfId="0" applyFont="1" applyBorder="1" applyAlignment="1">
      <alignment horizontal="center" vertical="center"/>
    </xf>
    <xf numFmtId="41" fontId="4" fillId="9" borderId="55" xfId="4" applyNumberFormat="1" applyFont="1" applyFill="1" applyBorder="1" applyAlignment="1">
      <alignment horizontal="center" vertical="center"/>
    </xf>
    <xf numFmtId="43" fontId="4" fillId="21" borderId="55" xfId="4" applyFont="1" applyFill="1" applyBorder="1" applyAlignment="1">
      <alignment horizontal="center" vertical="center"/>
    </xf>
    <xf numFmtId="43" fontId="4" fillId="0" borderId="54" xfId="4" applyFont="1" applyBorder="1">
      <alignment vertical="center"/>
    </xf>
    <xf numFmtId="43" fontId="4" fillId="21" borderId="55" xfId="0" applyNumberFormat="1" applyFont="1" applyFill="1" applyBorder="1" applyAlignment="1">
      <alignment horizontal="center" vertical="center"/>
    </xf>
    <xf numFmtId="43" fontId="4" fillId="21" borderId="56" xfId="0" applyNumberFormat="1" applyFont="1" applyFill="1" applyBorder="1" applyAlignment="1">
      <alignment horizontal="center" vertical="center"/>
    </xf>
    <xf numFmtId="0" fontId="4" fillId="0" borderId="22" xfId="0" applyFont="1" applyFill="1" applyBorder="1" applyAlignment="1">
      <alignment horizontal="right" vertical="center"/>
    </xf>
    <xf numFmtId="43" fontId="4" fillId="0" borderId="23" xfId="4" applyFont="1" applyBorder="1">
      <alignment vertical="center"/>
    </xf>
    <xf numFmtId="0" fontId="6" fillId="8" borderId="47" xfId="0" applyFont="1" applyFill="1" applyBorder="1">
      <alignment vertical="center"/>
    </xf>
    <xf numFmtId="0" fontId="6" fillId="0" borderId="57" xfId="0" applyFont="1" applyBorder="1">
      <alignment vertical="center"/>
    </xf>
    <xf numFmtId="0" fontId="6" fillId="0" borderId="48" xfId="0" applyFont="1" applyBorder="1" applyAlignment="1">
      <alignment horizontal="center" vertical="center"/>
    </xf>
    <xf numFmtId="0" fontId="6" fillId="0" borderId="48" xfId="0" applyFont="1" applyBorder="1">
      <alignment vertical="center"/>
    </xf>
    <xf numFmtId="0" fontId="6" fillId="9" borderId="48" xfId="0" quotePrefix="1" applyFont="1" applyFill="1" applyBorder="1" applyAlignment="1">
      <alignment horizontal="center" vertical="center"/>
    </xf>
    <xf numFmtId="0" fontId="4" fillId="0" borderId="49" xfId="0" applyFont="1" applyFill="1" applyBorder="1" applyAlignment="1">
      <alignment horizontal="right" vertical="center"/>
    </xf>
    <xf numFmtId="43" fontId="46" fillId="21" borderId="48" xfId="4" applyFont="1" applyFill="1" applyBorder="1">
      <alignment vertical="center"/>
    </xf>
    <xf numFmtId="41" fontId="4" fillId="0" borderId="49" xfId="0" applyNumberFormat="1" applyFont="1" applyFill="1" applyBorder="1" applyAlignment="1">
      <alignment horizontal="center" vertical="center"/>
    </xf>
    <xf numFmtId="43" fontId="6" fillId="21" borderId="48" xfId="0" applyNumberFormat="1" applyFont="1" applyFill="1" applyBorder="1">
      <alignment vertical="center"/>
    </xf>
    <xf numFmtId="43" fontId="6" fillId="21" borderId="48" xfId="4" applyFont="1" applyFill="1" applyBorder="1">
      <alignment vertical="center"/>
    </xf>
    <xf numFmtId="0" fontId="6" fillId="0" borderId="58" xfId="0" applyFont="1" applyBorder="1">
      <alignment vertical="center"/>
    </xf>
    <xf numFmtId="0" fontId="4" fillId="8" borderId="59" xfId="0" applyFont="1" applyFill="1" applyBorder="1">
      <alignment vertical="center"/>
    </xf>
    <xf numFmtId="0" fontId="4" fillId="8" borderId="60" xfId="0" applyFont="1" applyFill="1" applyBorder="1">
      <alignment vertical="center"/>
    </xf>
    <xf numFmtId="0" fontId="4" fillId="0" borderId="61" xfId="0" applyFont="1" applyBorder="1">
      <alignment vertical="center"/>
    </xf>
    <xf numFmtId="0" fontId="4" fillId="8" borderId="62" xfId="0" applyFont="1" applyFill="1" applyBorder="1">
      <alignment vertical="center"/>
    </xf>
    <xf numFmtId="0" fontId="4" fillId="0" borderId="54" xfId="0" applyFont="1" applyBorder="1" applyAlignment="1">
      <alignment horizontal="right" vertical="center"/>
    </xf>
    <xf numFmtId="43" fontId="4" fillId="21" borderId="55" xfId="4" applyFont="1" applyFill="1" applyBorder="1">
      <alignment vertical="center"/>
    </xf>
    <xf numFmtId="43" fontId="4" fillId="0" borderId="54" xfId="4" applyFont="1" applyFill="1" applyBorder="1">
      <alignment vertical="center"/>
    </xf>
    <xf numFmtId="0" fontId="4" fillId="0" borderId="63" xfId="0" applyFont="1" applyBorder="1">
      <alignment vertical="center"/>
    </xf>
    <xf numFmtId="0" fontId="7" fillId="28" borderId="46" xfId="0" applyFont="1" applyFill="1" applyBorder="1" applyAlignment="1">
      <alignment horizontal="center" vertical="center"/>
    </xf>
    <xf numFmtId="0" fontId="69" fillId="2" borderId="13" xfId="0" applyFont="1" applyFill="1" applyBorder="1" applyAlignment="1">
      <alignment horizontal="center" vertical="center"/>
    </xf>
    <xf numFmtId="0" fontId="0" fillId="0" borderId="0" xfId="0" applyAlignment="1"/>
    <xf numFmtId="0" fontId="0" fillId="0" borderId="0" xfId="0" applyAlignment="1">
      <alignment horizontal="center"/>
    </xf>
    <xf numFmtId="0" fontId="0" fillId="0" borderId="0" xfId="0" applyBorder="1" applyAlignment="1">
      <alignment horizontal="center"/>
    </xf>
    <xf numFmtId="194" fontId="81" fillId="32" borderId="5" xfId="0" applyNumberFormat="1" applyFont="1" applyFill="1" applyBorder="1" applyAlignment="1">
      <alignment horizontal="right"/>
    </xf>
    <xf numFmtId="0" fontId="0" fillId="0" borderId="0" xfId="0" applyFill="1" applyBorder="1" applyAlignment="1">
      <alignment horizontal="center"/>
    </xf>
    <xf numFmtId="0" fontId="0" fillId="0" borderId="0" xfId="0" applyFill="1" applyBorder="1" applyAlignment="1"/>
    <xf numFmtId="182" fontId="0" fillId="31" borderId="5" xfId="0" applyNumberFormat="1" applyFill="1" applyBorder="1" applyAlignment="1">
      <alignment horizontal="center" vertical="center"/>
    </xf>
    <xf numFmtId="197" fontId="0" fillId="0" borderId="5" xfId="0" applyNumberFormat="1" applyFill="1" applyBorder="1" applyAlignment="1">
      <alignment horizontal="center" vertical="center"/>
    </xf>
    <xf numFmtId="0" fontId="84" fillId="33" borderId="5" xfId="0" applyFont="1" applyFill="1" applyBorder="1" applyAlignment="1"/>
    <xf numFmtId="0" fontId="83" fillId="33" borderId="5" xfId="0" applyFont="1" applyFill="1" applyBorder="1" applyAlignment="1">
      <alignment horizontal="center"/>
    </xf>
    <xf numFmtId="0" fontId="82" fillId="33" borderId="5" xfId="0" applyFont="1" applyFill="1" applyBorder="1" applyAlignment="1">
      <alignment horizontal="center"/>
    </xf>
    <xf numFmtId="0" fontId="85" fillId="33" borderId="5" xfId="0" applyFont="1" applyFill="1" applyBorder="1" applyAlignment="1">
      <alignment horizontal="center"/>
    </xf>
    <xf numFmtId="196" fontId="79" fillId="34" borderId="5" xfId="0" applyNumberFormat="1" applyFont="1" applyFill="1" applyBorder="1" applyAlignment="1">
      <alignment horizontal="center"/>
    </xf>
    <xf numFmtId="196" fontId="79" fillId="9" borderId="5" xfId="0" applyNumberFormat="1" applyFont="1" applyFill="1" applyBorder="1" applyAlignment="1">
      <alignment horizontal="center"/>
    </xf>
    <xf numFmtId="195" fontId="7" fillId="35" borderId="5" xfId="0" applyNumberFormat="1" applyFont="1" applyFill="1" applyBorder="1">
      <alignment vertical="center"/>
    </xf>
    <xf numFmtId="196" fontId="79" fillId="36" borderId="5" xfId="0" applyNumberFormat="1" applyFont="1" applyFill="1" applyBorder="1" applyAlignment="1">
      <alignment horizontal="center"/>
    </xf>
    <xf numFmtId="196" fontId="79" fillId="37" borderId="5" xfId="0" applyNumberFormat="1" applyFont="1" applyFill="1" applyBorder="1" applyAlignment="1">
      <alignment horizontal="center"/>
    </xf>
    <xf numFmtId="43" fontId="0" fillId="8" borderId="5" xfId="0" applyNumberFormat="1" applyFill="1" applyBorder="1">
      <alignment vertical="center"/>
    </xf>
    <xf numFmtId="0" fontId="0" fillId="8" borderId="5" xfId="0" applyFill="1" applyBorder="1" applyAlignment="1">
      <alignment horizontal="left" vertical="center"/>
    </xf>
    <xf numFmtId="198" fontId="0" fillId="0" borderId="0" xfId="0" applyNumberFormat="1" applyFill="1" applyAlignment="1">
      <alignment horizontal="center" vertical="center"/>
    </xf>
    <xf numFmtId="43" fontId="0" fillId="30" borderId="5" xfId="0" applyNumberFormat="1" applyFill="1" applyBorder="1" applyAlignment="1">
      <alignment horizontal="center" vertical="center"/>
    </xf>
    <xf numFmtId="0" fontId="0" fillId="0" borderId="22" xfId="0" applyFill="1" applyBorder="1">
      <alignment vertical="center"/>
    </xf>
    <xf numFmtId="182" fontId="0" fillId="0" borderId="12" xfId="0" applyNumberFormat="1" applyFill="1" applyBorder="1" applyAlignment="1">
      <alignment horizontal="center" vertical="center"/>
    </xf>
    <xf numFmtId="0" fontId="71" fillId="2" borderId="5" xfId="0" applyFont="1" applyFill="1" applyBorder="1" applyAlignment="1">
      <alignment horizontal="center" vertical="center"/>
    </xf>
    <xf numFmtId="0" fontId="72" fillId="2" borderId="5" xfId="0" applyFont="1" applyFill="1" applyBorder="1" applyAlignment="1">
      <alignment horizontal="center" vertical="center"/>
    </xf>
    <xf numFmtId="192" fontId="4" fillId="0" borderId="5" xfId="4" applyNumberFormat="1" applyFont="1" applyBorder="1" applyAlignment="1">
      <alignment vertical="center"/>
    </xf>
    <xf numFmtId="183" fontId="4" fillId="0" borderId="5" xfId="4" applyNumberFormat="1" applyFont="1" applyBorder="1" applyAlignment="1">
      <alignment vertical="center"/>
    </xf>
    <xf numFmtId="9" fontId="4" fillId="20" borderId="5" xfId="0" applyNumberFormat="1" applyFont="1" applyFill="1" applyBorder="1" applyAlignment="1">
      <alignment horizontal="center" vertical="center"/>
    </xf>
    <xf numFmtId="43" fontId="6" fillId="21" borderId="5" xfId="4" applyFont="1" applyFill="1" applyBorder="1" applyAlignment="1">
      <alignment vertical="center"/>
    </xf>
    <xf numFmtId="192" fontId="6" fillId="21" borderId="5" xfId="4" applyNumberFormat="1" applyFont="1" applyFill="1" applyBorder="1" applyAlignment="1">
      <alignment vertical="center"/>
    </xf>
    <xf numFmtId="183" fontId="6" fillId="21" borderId="5" xfId="4" applyNumberFormat="1" applyFont="1" applyFill="1" applyBorder="1" applyAlignment="1">
      <alignment vertical="center"/>
    </xf>
    <xf numFmtId="192" fontId="4" fillId="21" borderId="5" xfId="4" applyNumberFormat="1" applyFont="1" applyFill="1" applyBorder="1" applyAlignment="1">
      <alignment vertical="center"/>
    </xf>
    <xf numFmtId="183" fontId="4" fillId="21" borderId="5" xfId="4" applyNumberFormat="1" applyFont="1" applyFill="1" applyBorder="1" applyAlignment="1">
      <alignment vertical="center"/>
    </xf>
    <xf numFmtId="0" fontId="36" fillId="0" borderId="5" xfId="0" applyFont="1" applyFill="1" applyBorder="1" applyAlignment="1">
      <alignment horizontal="left" vertical="center" wrapText="1"/>
    </xf>
    <xf numFmtId="0" fontId="34" fillId="0" borderId="27" xfId="0" applyFont="1" applyBorder="1" applyAlignment="1">
      <alignment wrapText="1"/>
    </xf>
    <xf numFmtId="0" fontId="34" fillId="0" borderId="7" xfId="0" applyFont="1" applyBorder="1" applyAlignment="1">
      <alignment wrapText="1"/>
    </xf>
    <xf numFmtId="43" fontId="31" fillId="0" borderId="0" xfId="0" applyNumberFormat="1" applyFont="1" applyBorder="1" applyAlignment="1">
      <alignment vertical="center"/>
    </xf>
    <xf numFmtId="0" fontId="4" fillId="0" borderId="5" xfId="0" applyFont="1" applyBorder="1" applyAlignment="1">
      <alignment horizontal="left" vertical="center"/>
    </xf>
    <xf numFmtId="0" fontId="6" fillId="5" borderId="5" xfId="0" applyFont="1" applyFill="1" applyBorder="1">
      <alignment vertical="center"/>
    </xf>
    <xf numFmtId="0" fontId="0" fillId="5" borderId="0" xfId="0" applyFill="1" applyAlignment="1">
      <alignment horizontal="center" vertical="center"/>
    </xf>
    <xf numFmtId="0" fontId="69" fillId="2" borderId="13" xfId="0" applyFont="1" applyFill="1" applyBorder="1" applyAlignment="1">
      <alignment horizontal="left" vertical="center"/>
    </xf>
    <xf numFmtId="182" fontId="4" fillId="6" borderId="5" xfId="0" applyNumberFormat="1" applyFont="1" applyFill="1" applyBorder="1" applyAlignment="1">
      <alignment horizontal="center" vertical="top"/>
    </xf>
    <xf numFmtId="0" fontId="22" fillId="7" borderId="5" xfId="6" applyFont="1" applyFill="1" applyBorder="1" applyAlignment="1">
      <alignment horizontal="center" vertical="center" wrapText="1"/>
    </xf>
    <xf numFmtId="0" fontId="7" fillId="2" borderId="0" xfId="0" applyFont="1" applyFill="1" applyAlignment="1">
      <alignment horizontal="center" vertical="center"/>
    </xf>
    <xf numFmtId="0" fontId="4" fillId="0" borderId="5" xfId="0" applyFont="1" applyFill="1" applyBorder="1" applyAlignment="1">
      <alignment horizontal="left" vertical="top"/>
    </xf>
    <xf numFmtId="0" fontId="4" fillId="0" borderId="5" xfId="0" applyFont="1" applyFill="1" applyBorder="1" applyAlignment="1">
      <alignment horizontal="center" vertical="center"/>
    </xf>
    <xf numFmtId="0" fontId="22" fillId="7" borderId="5" xfId="6" applyFont="1" applyFill="1" applyBorder="1" applyAlignment="1">
      <alignment horizontal="center" vertical="center" wrapText="1"/>
    </xf>
    <xf numFmtId="0" fontId="4" fillId="0" borderId="5" xfId="0" applyFont="1" applyFill="1" applyBorder="1" applyAlignment="1">
      <alignment horizontal="left" vertical="top"/>
    </xf>
    <xf numFmtId="0" fontId="21" fillId="0" borderId="7" xfId="6" applyFont="1" applyBorder="1" applyAlignment="1">
      <alignment vertical="center"/>
    </xf>
    <xf numFmtId="0" fontId="21" fillId="0" borderId="29" xfId="6" applyFont="1" applyBorder="1" applyAlignment="1">
      <alignment vertical="center"/>
    </xf>
    <xf numFmtId="0" fontId="86" fillId="0" borderId="7" xfId="6" applyFont="1" applyBorder="1" applyAlignment="1">
      <alignment vertical="center"/>
    </xf>
    <xf numFmtId="0" fontId="87" fillId="5" borderId="7" xfId="6" applyFont="1" applyFill="1" applyBorder="1" applyAlignment="1">
      <alignment vertical="center"/>
    </xf>
    <xf numFmtId="0" fontId="46" fillId="0" borderId="5" xfId="0" applyFont="1" applyFill="1" applyBorder="1" applyAlignment="1">
      <alignment horizontal="center" vertical="center"/>
    </xf>
    <xf numFmtId="3" fontId="4" fillId="0" borderId="5" xfId="4" applyNumberFormat="1" applyFont="1" applyFill="1" applyBorder="1" applyAlignment="1">
      <alignment horizontal="center" vertical="center"/>
    </xf>
    <xf numFmtId="3" fontId="4" fillId="0" borderId="5" xfId="0" applyNumberFormat="1" applyFont="1" applyFill="1" applyBorder="1" applyAlignment="1">
      <alignment horizontal="center" vertical="center"/>
    </xf>
    <xf numFmtId="182" fontId="0" fillId="36" borderId="12" xfId="0" applyNumberFormat="1" applyFill="1" applyBorder="1" applyAlignment="1">
      <alignment horizontal="center" vertical="center"/>
    </xf>
    <xf numFmtId="182" fontId="0" fillId="9" borderId="5" xfId="0" applyNumberFormat="1" applyFill="1" applyBorder="1" applyAlignment="1">
      <alignment horizontal="center" vertical="center"/>
    </xf>
    <xf numFmtId="182" fontId="0" fillId="36" borderId="5" xfId="0" applyNumberFormat="1" applyFill="1" applyBorder="1" applyAlignment="1">
      <alignment horizontal="center" vertical="center"/>
    </xf>
    <xf numFmtId="0" fontId="0" fillId="36" borderId="12" xfId="0" applyFill="1" applyBorder="1" applyAlignment="1">
      <alignment horizontal="center" vertical="center"/>
    </xf>
    <xf numFmtId="0" fontId="0" fillId="9" borderId="5" xfId="0" applyFill="1" applyBorder="1" applyAlignment="1">
      <alignment horizontal="center" vertical="center"/>
    </xf>
    <xf numFmtId="0" fontId="0" fillId="36" borderId="5" xfId="0" applyFill="1" applyBorder="1" applyAlignment="1">
      <alignment horizontal="center" vertical="center"/>
    </xf>
    <xf numFmtId="0" fontId="4" fillId="16" borderId="2" xfId="1" applyFont="1" applyFill="1" applyBorder="1" applyAlignment="1">
      <alignment vertical="center" wrapText="1"/>
    </xf>
    <xf numFmtId="0" fontId="4" fillId="16" borderId="2" xfId="1" applyFont="1" applyFill="1" applyBorder="1" applyAlignment="1">
      <alignment horizontal="left" vertical="top" wrapText="1"/>
    </xf>
    <xf numFmtId="0" fontId="55" fillId="16" borderId="2" xfId="1" applyFont="1" applyFill="1" applyBorder="1" applyAlignment="1">
      <alignment horizontal="left" vertical="top" wrapText="1"/>
    </xf>
    <xf numFmtId="49" fontId="4" fillId="16" borderId="2" xfId="1" applyNumberFormat="1" applyFont="1" applyFill="1" applyBorder="1" applyAlignment="1">
      <alignment horizontal="left" vertical="center" wrapText="1"/>
    </xf>
    <xf numFmtId="49" fontId="4" fillId="16" borderId="2" xfId="1" quotePrefix="1" applyNumberFormat="1" applyFont="1" applyFill="1" applyBorder="1" applyAlignment="1">
      <alignment horizontal="left" vertical="center" wrapText="1"/>
    </xf>
    <xf numFmtId="49" fontId="4" fillId="16" borderId="2" xfId="1" quotePrefix="1" applyNumberFormat="1" applyFont="1" applyFill="1" applyBorder="1" applyAlignment="1">
      <alignment vertical="center" wrapText="1"/>
    </xf>
    <xf numFmtId="49" fontId="4" fillId="16" borderId="2" xfId="1" applyNumberFormat="1" applyFont="1" applyFill="1" applyBorder="1" applyAlignment="1">
      <alignment vertical="center" wrapText="1"/>
    </xf>
    <xf numFmtId="0" fontId="4" fillId="16" borderId="2" xfId="1" quotePrefix="1" applyFont="1" applyFill="1" applyBorder="1" applyAlignment="1">
      <alignment vertical="center" wrapText="1"/>
    </xf>
    <xf numFmtId="0" fontId="4" fillId="0" borderId="5" xfId="0" applyFont="1" applyFill="1" applyBorder="1" applyAlignment="1">
      <alignment horizontal="center" vertical="top"/>
    </xf>
    <xf numFmtId="0" fontId="4" fillId="0" borderId="5" xfId="0" applyFont="1" applyFill="1" applyBorder="1" applyAlignment="1">
      <alignment horizontal="left" vertical="top" wrapText="1"/>
    </xf>
    <xf numFmtId="0" fontId="4" fillId="0" borderId="22" xfId="0" applyFont="1" applyFill="1" applyBorder="1" applyAlignment="1">
      <alignment horizontal="center" vertical="center"/>
    </xf>
    <xf numFmtId="0" fontId="6" fillId="5" borderId="5" xfId="0" applyFont="1" applyFill="1" applyBorder="1" applyAlignment="1">
      <alignment vertical="top" wrapText="1"/>
    </xf>
    <xf numFmtId="0" fontId="4" fillId="5" borderId="5" xfId="0" applyFont="1" applyFill="1" applyBorder="1" applyAlignment="1">
      <alignment horizontal="left" vertical="center" indent="1"/>
    </xf>
    <xf numFmtId="0" fontId="6" fillId="5" borderId="5" xfId="0" applyFont="1" applyFill="1" applyBorder="1" applyAlignment="1">
      <alignment vertical="center"/>
    </xf>
    <xf numFmtId="0" fontId="6" fillId="5" borderId="0" xfId="0" applyFont="1" applyFill="1" applyBorder="1" applyAlignment="1">
      <alignment vertical="center"/>
    </xf>
    <xf numFmtId="0" fontId="4" fillId="0" borderId="5" xfId="0" applyFont="1" applyFill="1" applyBorder="1" applyAlignment="1">
      <alignment horizontal="left" vertical="top" wrapText="1"/>
    </xf>
    <xf numFmtId="0" fontId="20" fillId="0" borderId="5" xfId="0" applyFont="1" applyBorder="1" applyAlignment="1">
      <alignment horizontal="left" vertical="top" wrapText="1"/>
    </xf>
    <xf numFmtId="0" fontId="20" fillId="0" borderId="22" xfId="0" applyFont="1" applyFill="1" applyBorder="1" applyAlignment="1">
      <alignment horizontal="left" vertical="center" wrapText="1"/>
    </xf>
    <xf numFmtId="0" fontId="20" fillId="0" borderId="23" xfId="0" applyFont="1" applyFill="1" applyBorder="1" applyAlignment="1">
      <alignment horizontal="left" vertical="center" wrapText="1"/>
    </xf>
    <xf numFmtId="0" fontId="20" fillId="0" borderId="5" xfId="0" applyFont="1" applyFill="1" applyBorder="1" applyAlignment="1">
      <alignment horizontal="left" vertical="center" wrapText="1"/>
    </xf>
    <xf numFmtId="0" fontId="6" fillId="5" borderId="5" xfId="0" applyFont="1" applyFill="1" applyBorder="1" applyAlignment="1">
      <alignment horizontal="right" vertical="center"/>
    </xf>
    <xf numFmtId="0" fontId="4" fillId="21" borderId="12" xfId="0" applyFont="1" applyFill="1" applyBorder="1" applyAlignment="1">
      <alignment horizontal="center" vertical="center"/>
    </xf>
    <xf numFmtId="43" fontId="4" fillId="21" borderId="5" xfId="0" applyNumberFormat="1" applyFont="1" applyFill="1" applyBorder="1">
      <alignment vertical="center"/>
    </xf>
    <xf numFmtId="0" fontId="6" fillId="5" borderId="5" xfId="0" applyFont="1" applyFill="1" applyBorder="1" applyAlignment="1">
      <alignment horizontal="left" vertical="center"/>
    </xf>
    <xf numFmtId="0" fontId="25" fillId="5" borderId="5" xfId="0" applyFont="1" applyFill="1" applyBorder="1">
      <alignment vertical="center"/>
    </xf>
    <xf numFmtId="10" fontId="4" fillId="0" borderId="5" xfId="4" applyNumberFormat="1" applyFont="1" applyBorder="1" applyAlignment="1">
      <alignment horizontal="left" vertical="center"/>
    </xf>
    <xf numFmtId="43" fontId="4" fillId="14" borderId="5" xfId="4" applyFont="1" applyFill="1" applyBorder="1" applyAlignment="1">
      <alignment vertical="top"/>
    </xf>
    <xf numFmtId="199" fontId="4" fillId="0" borderId="5" xfId="4" applyNumberFormat="1" applyFont="1" applyBorder="1" applyAlignment="1">
      <alignment horizontal="left" vertical="center"/>
    </xf>
    <xf numFmtId="0" fontId="6" fillId="0" borderId="32" xfId="0" applyFont="1" applyFill="1" applyBorder="1" applyAlignment="1">
      <alignment vertical="center"/>
    </xf>
    <xf numFmtId="10" fontId="4" fillId="0" borderId="5" xfId="0" applyNumberFormat="1" applyFont="1" applyFill="1" applyBorder="1" applyAlignment="1">
      <alignment horizontal="left" vertical="top"/>
    </xf>
    <xf numFmtId="0" fontId="4" fillId="0" borderId="5" xfId="0" applyFont="1" applyFill="1" applyBorder="1" applyAlignment="1">
      <alignment horizontal="left" vertical="top" wrapText="1"/>
    </xf>
    <xf numFmtId="0" fontId="4" fillId="0" borderId="5" xfId="0" applyFont="1" applyFill="1" applyBorder="1" applyAlignment="1">
      <alignment horizontal="left" vertical="top"/>
    </xf>
    <xf numFmtId="43" fontId="46" fillId="14" borderId="5" xfId="0" applyNumberFormat="1" applyFont="1" applyFill="1" applyBorder="1" applyAlignment="1">
      <alignment vertical="center"/>
    </xf>
    <xf numFmtId="177" fontId="80" fillId="0" borderId="5" xfId="0" applyNumberFormat="1" applyFont="1" applyFill="1" applyBorder="1" applyAlignment="1">
      <alignment horizontal="center"/>
    </xf>
    <xf numFmtId="177" fontId="81" fillId="0" borderId="5" xfId="0" applyNumberFormat="1" applyFont="1" applyFill="1" applyBorder="1" applyAlignment="1">
      <alignment horizontal="right"/>
    </xf>
    <xf numFmtId="177" fontId="0" fillId="5" borderId="0" xfId="0" applyNumberFormat="1" applyFill="1" applyAlignment="1">
      <alignment horizontal="center" vertical="center"/>
    </xf>
    <xf numFmtId="0" fontId="4" fillId="0" borderId="5" xfId="0" applyNumberFormat="1" applyFont="1" applyFill="1" applyBorder="1" applyAlignment="1">
      <alignment vertical="center"/>
    </xf>
    <xf numFmtId="0" fontId="5" fillId="24" borderId="12" xfId="4" applyNumberFormat="1" applyFont="1" applyFill="1" applyBorder="1" applyAlignment="1">
      <alignment horizontal="center" vertical="center"/>
    </xf>
    <xf numFmtId="0" fontId="5" fillId="24" borderId="5" xfId="4" applyNumberFormat="1" applyFont="1" applyFill="1" applyBorder="1" applyAlignment="1">
      <alignment horizontal="center" vertical="center"/>
    </xf>
    <xf numFmtId="190" fontId="4" fillId="0" borderId="5" xfId="0" applyNumberFormat="1" applyFont="1" applyFill="1" applyBorder="1" applyAlignment="1">
      <alignment horizontal="center" vertical="top"/>
    </xf>
    <xf numFmtId="0" fontId="4" fillId="0" borderId="5"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Border="1" applyAlignment="1">
      <alignment horizontal="center" vertical="center"/>
    </xf>
    <xf numFmtId="0" fontId="20" fillId="0" borderId="5" xfId="0" applyFont="1" applyBorder="1" applyAlignment="1">
      <alignment horizontal="left" vertical="top" wrapText="1"/>
    </xf>
    <xf numFmtId="0" fontId="4" fillId="0" borderId="5" xfId="0" applyFont="1" applyBorder="1" applyAlignment="1">
      <alignment horizontal="center" vertical="center"/>
    </xf>
    <xf numFmtId="0" fontId="69" fillId="2" borderId="22" xfId="0" applyFont="1" applyFill="1" applyBorder="1" applyAlignment="1">
      <alignment horizontal="left" vertical="center"/>
    </xf>
    <xf numFmtId="0" fontId="4" fillId="0" borderId="0" xfId="4" applyNumberFormat="1" applyFont="1" applyFill="1" applyBorder="1" applyAlignment="1">
      <alignment horizontal="center" vertical="center"/>
    </xf>
    <xf numFmtId="43" fontId="6" fillId="5" borderId="5" xfId="0" applyNumberFormat="1" applyFont="1" applyFill="1" applyBorder="1" applyAlignment="1">
      <alignment horizontal="center" vertical="center"/>
    </xf>
    <xf numFmtId="0" fontId="0" fillId="0" borderId="0" xfId="0" applyFill="1" applyBorder="1">
      <alignment vertical="center"/>
    </xf>
    <xf numFmtId="0" fontId="0" fillId="8" borderId="0" xfId="0" applyFill="1">
      <alignment vertical="center"/>
    </xf>
    <xf numFmtId="0" fontId="69" fillId="2" borderId="29" xfId="0" applyFont="1" applyFill="1" applyBorder="1" applyAlignment="1">
      <alignment horizontal="center" vertical="center"/>
    </xf>
    <xf numFmtId="0" fontId="0" fillId="0" borderId="0" xfId="0" applyBorder="1" applyAlignment="1">
      <alignment horizontal="center" vertical="center"/>
    </xf>
    <xf numFmtId="0" fontId="0" fillId="0" borderId="5" xfId="0" applyFill="1" applyBorder="1">
      <alignment vertical="center"/>
    </xf>
    <xf numFmtId="43" fontId="4" fillId="0" borderId="5" xfId="4" applyNumberFormat="1" applyFont="1" applyFill="1" applyBorder="1" applyAlignment="1">
      <alignment horizontal="right" vertical="center"/>
    </xf>
    <xf numFmtId="0" fontId="0" fillId="0" borderId="0" xfId="0" applyBorder="1" applyAlignment="1">
      <alignment vertical="center"/>
    </xf>
    <xf numFmtId="0" fontId="4" fillId="18" borderId="5" xfId="4" applyNumberFormat="1" applyFont="1" applyFill="1" applyBorder="1" applyAlignment="1">
      <alignment horizontal="center" vertical="center"/>
    </xf>
    <xf numFmtId="0" fontId="4" fillId="14" borderId="5" xfId="4" applyNumberFormat="1" applyFont="1" applyFill="1" applyBorder="1" applyAlignment="1">
      <alignment horizontal="center" vertical="center"/>
    </xf>
    <xf numFmtId="183" fontId="6" fillId="21" borderId="21" xfId="4" applyNumberFormat="1" applyFont="1" applyFill="1" applyBorder="1" applyAlignment="1">
      <alignment vertical="center"/>
    </xf>
    <xf numFmtId="0" fontId="4" fillId="8" borderId="22" xfId="0" applyFont="1" applyFill="1" applyBorder="1" applyAlignment="1">
      <alignment horizontal="left" vertical="top"/>
    </xf>
    <xf numFmtId="0" fontId="4" fillId="0" borderId="0" xfId="0" applyFont="1" applyFill="1" applyBorder="1" applyAlignment="1">
      <alignment horizontal="left" vertical="top"/>
    </xf>
    <xf numFmtId="183" fontId="6" fillId="21" borderId="21" xfId="4" applyNumberFormat="1" applyFont="1" applyFill="1" applyBorder="1" applyAlignment="1">
      <alignment vertical="top"/>
    </xf>
    <xf numFmtId="0" fontId="4" fillId="8" borderId="22" xfId="0" applyFont="1" applyFill="1" applyBorder="1">
      <alignment vertical="center"/>
    </xf>
    <xf numFmtId="0" fontId="4" fillId="0" borderId="0" xfId="0" applyFont="1" applyFill="1" applyBorder="1">
      <alignment vertical="center"/>
    </xf>
    <xf numFmtId="182" fontId="6" fillId="21" borderId="21" xfId="0" applyNumberFormat="1" applyFont="1" applyFill="1" applyBorder="1" applyAlignment="1">
      <alignment vertical="top"/>
    </xf>
    <xf numFmtId="0" fontId="25" fillId="38" borderId="5" xfId="0" applyFont="1" applyFill="1" applyBorder="1" applyAlignment="1">
      <alignment horizontal="center" vertical="center" wrapText="1"/>
    </xf>
    <xf numFmtId="0" fontId="4" fillId="38" borderId="5" xfId="4" applyNumberFormat="1" applyFont="1" applyFill="1" applyBorder="1" applyAlignment="1">
      <alignment horizontal="center" vertical="center"/>
    </xf>
    <xf numFmtId="0" fontId="4" fillId="36" borderId="5" xfId="4" applyNumberFormat="1" applyFont="1" applyFill="1" applyBorder="1" applyAlignment="1">
      <alignment horizontal="center" vertical="center"/>
    </xf>
    <xf numFmtId="0" fontId="25" fillId="38" borderId="5" xfId="0" applyFont="1" applyFill="1" applyBorder="1" applyAlignment="1">
      <alignment vertical="center" wrapText="1"/>
    </xf>
    <xf numFmtId="10" fontId="6" fillId="38" borderId="5" xfId="0" applyNumberFormat="1" applyFont="1" applyFill="1" applyBorder="1" applyAlignment="1">
      <alignment horizontal="center" vertical="center"/>
    </xf>
    <xf numFmtId="0" fontId="25" fillId="38" borderId="5" xfId="0" applyFont="1" applyFill="1" applyBorder="1">
      <alignment vertical="center"/>
    </xf>
    <xf numFmtId="0" fontId="4" fillId="39" borderId="5" xfId="4" applyNumberFormat="1" applyFont="1" applyFill="1" applyBorder="1" applyAlignment="1">
      <alignment horizontal="center" vertical="center"/>
    </xf>
    <xf numFmtId="0" fontId="4" fillId="39" borderId="5" xfId="0" applyNumberFormat="1" applyFont="1" applyFill="1" applyBorder="1" applyAlignment="1">
      <alignment horizontal="center" vertical="center"/>
    </xf>
    <xf numFmtId="0" fontId="25" fillId="18" borderId="5" xfId="0" applyFont="1" applyFill="1" applyBorder="1" applyAlignment="1">
      <alignment horizontal="center" vertical="center" wrapText="1"/>
    </xf>
    <xf numFmtId="0" fontId="25" fillId="14" borderId="5" xfId="0" applyFont="1" applyFill="1" applyBorder="1" applyAlignment="1">
      <alignment horizontal="center" vertical="center" wrapText="1"/>
    </xf>
    <xf numFmtId="0" fontId="25" fillId="18" borderId="5" xfId="0" applyFont="1" applyFill="1" applyBorder="1" applyAlignment="1">
      <alignment vertical="center" wrapText="1"/>
    </xf>
    <xf numFmtId="10" fontId="6" fillId="18" borderId="5" xfId="0" applyNumberFormat="1" applyFont="1" applyFill="1" applyBorder="1" applyAlignment="1">
      <alignment horizontal="center" vertical="center"/>
    </xf>
    <xf numFmtId="0" fontId="4" fillId="18" borderId="5" xfId="0" applyNumberFormat="1" applyFont="1" applyFill="1" applyBorder="1" applyAlignment="1">
      <alignment horizontal="center" vertical="center"/>
    </xf>
    <xf numFmtId="0" fontId="4" fillId="40" borderId="5" xfId="4" applyNumberFormat="1" applyFont="1" applyFill="1" applyBorder="1" applyAlignment="1">
      <alignment horizontal="center" vertical="center"/>
    </xf>
    <xf numFmtId="0" fontId="25" fillId="14" borderId="5" xfId="0" applyFont="1" applyFill="1" applyBorder="1" applyAlignment="1">
      <alignment vertical="center" wrapText="1"/>
    </xf>
    <xf numFmtId="10" fontId="6" fillId="14" borderId="5" xfId="0" applyNumberFormat="1" applyFont="1" applyFill="1" applyBorder="1" applyAlignment="1">
      <alignment horizontal="center" vertical="center"/>
    </xf>
    <xf numFmtId="3" fontId="4" fillId="14" borderId="5" xfId="4" applyNumberFormat="1" applyFont="1" applyFill="1" applyBorder="1" applyAlignment="1">
      <alignment horizontal="center" vertical="center"/>
    </xf>
    <xf numFmtId="177" fontId="4" fillId="14" borderId="5" xfId="4" applyNumberFormat="1" applyFont="1" applyFill="1" applyBorder="1" applyAlignment="1">
      <alignment horizontal="center" vertical="center"/>
    </xf>
    <xf numFmtId="0" fontId="4" fillId="42" borderId="5" xfId="4" applyNumberFormat="1" applyFont="1" applyFill="1" applyBorder="1" applyAlignment="1">
      <alignment horizontal="center" vertical="center"/>
    </xf>
    <xf numFmtId="0" fontId="25" fillId="43" borderId="5" xfId="0" applyFont="1" applyFill="1" applyBorder="1" applyAlignment="1">
      <alignment horizontal="center" vertical="center" wrapText="1"/>
    </xf>
    <xf numFmtId="0" fontId="4" fillId="43" borderId="5" xfId="4" applyNumberFormat="1" applyFont="1" applyFill="1" applyBorder="1" applyAlignment="1">
      <alignment horizontal="center" vertical="center"/>
    </xf>
    <xf numFmtId="0" fontId="4" fillId="43" borderId="26" xfId="4" applyNumberFormat="1" applyFont="1" applyFill="1" applyBorder="1" applyAlignment="1">
      <alignment horizontal="center" vertical="center"/>
    </xf>
    <xf numFmtId="10" fontId="6" fillId="43" borderId="22" xfId="0" applyNumberFormat="1" applyFont="1" applyFill="1" applyBorder="1" applyAlignment="1">
      <alignment horizontal="center" vertical="center"/>
    </xf>
    <xf numFmtId="10" fontId="6" fillId="0" borderId="5" xfId="0" applyNumberFormat="1" applyFont="1" applyFill="1" applyBorder="1" applyAlignment="1">
      <alignment horizontal="center" vertical="center"/>
    </xf>
    <xf numFmtId="0" fontId="25" fillId="36" borderId="5" xfId="0" applyNumberFormat="1" applyFont="1" applyFill="1" applyBorder="1" applyAlignment="1">
      <alignment horizontal="center" vertical="center"/>
    </xf>
    <xf numFmtId="0" fontId="8" fillId="8" borderId="31" xfId="0" applyFont="1" applyFill="1" applyBorder="1" applyAlignment="1">
      <alignment horizontal="center" vertical="center" wrapText="1"/>
    </xf>
    <xf numFmtId="200" fontId="6" fillId="8" borderId="5" xfId="4" applyNumberFormat="1" applyFont="1" applyFill="1" applyBorder="1" applyAlignment="1">
      <alignment horizontal="center" vertical="center"/>
    </xf>
    <xf numFmtId="10" fontId="6" fillId="8" borderId="5" xfId="0" applyNumberFormat="1" applyFont="1" applyFill="1" applyBorder="1" applyAlignment="1">
      <alignment horizontal="center" vertical="center"/>
    </xf>
    <xf numFmtId="0" fontId="6" fillId="8" borderId="5" xfId="0" applyNumberFormat="1" applyFont="1" applyFill="1" applyBorder="1" applyAlignment="1">
      <alignment horizontal="center" vertical="center"/>
    </xf>
    <xf numFmtId="43" fontId="4" fillId="8" borderId="5" xfId="4" applyFont="1" applyFill="1" applyBorder="1" applyAlignment="1">
      <alignment horizontal="center" vertical="center"/>
    </xf>
    <xf numFmtId="182" fontId="69" fillId="2" borderId="29" xfId="0" applyNumberFormat="1" applyFont="1" applyFill="1" applyBorder="1" applyAlignment="1">
      <alignment horizontal="center" vertical="center"/>
    </xf>
    <xf numFmtId="0" fontId="89" fillId="0" borderId="0" xfId="0" applyFont="1">
      <alignment vertical="center"/>
    </xf>
    <xf numFmtId="10" fontId="6" fillId="0" borderId="22" xfId="0" applyNumberFormat="1" applyFont="1" applyFill="1" applyBorder="1" applyAlignment="1">
      <alignment horizontal="center" vertical="center"/>
    </xf>
    <xf numFmtId="41" fontId="0" fillId="0" borderId="0" xfId="0" applyNumberFormat="1">
      <alignment vertical="center"/>
    </xf>
    <xf numFmtId="10" fontId="6" fillId="14" borderId="22" xfId="0" applyNumberFormat="1" applyFont="1" applyFill="1" applyBorder="1" applyAlignment="1">
      <alignment horizontal="center" vertical="center"/>
    </xf>
    <xf numFmtId="10" fontId="6" fillId="38" borderId="22" xfId="0" applyNumberFormat="1" applyFont="1" applyFill="1" applyBorder="1" applyAlignment="1">
      <alignment horizontal="center" vertical="center"/>
    </xf>
    <xf numFmtId="10" fontId="6" fillId="43" borderId="5" xfId="0" applyNumberFormat="1" applyFont="1" applyFill="1" applyBorder="1" applyAlignment="1">
      <alignment horizontal="center" vertical="center"/>
    </xf>
    <xf numFmtId="10" fontId="6" fillId="18" borderId="22" xfId="0" applyNumberFormat="1" applyFont="1" applyFill="1" applyBorder="1" applyAlignment="1">
      <alignment horizontal="center" vertical="center"/>
    </xf>
    <xf numFmtId="41" fontId="69" fillId="2" borderId="26" xfId="0" applyNumberFormat="1" applyFont="1" applyFill="1" applyBorder="1" applyAlignment="1">
      <alignment horizontal="center" vertical="center"/>
    </xf>
    <xf numFmtId="0" fontId="0" fillId="14" borderId="0" xfId="0" applyFill="1">
      <alignment vertical="center"/>
    </xf>
    <xf numFmtId="0" fontId="0" fillId="38" borderId="0" xfId="0" applyFill="1">
      <alignment vertical="center"/>
    </xf>
    <xf numFmtId="0" fontId="0" fillId="18" borderId="0" xfId="0" applyFill="1">
      <alignment vertical="center"/>
    </xf>
    <xf numFmtId="0" fontId="0" fillId="10" borderId="0" xfId="0" applyFill="1">
      <alignment vertical="center"/>
    </xf>
    <xf numFmtId="0" fontId="6" fillId="0" borderId="10" xfId="0" applyFont="1" applyFill="1" applyBorder="1">
      <alignment vertical="center"/>
    </xf>
    <xf numFmtId="10" fontId="6" fillId="0" borderId="10" xfId="0" applyNumberFormat="1" applyFont="1" applyFill="1" applyBorder="1" applyAlignment="1">
      <alignment horizontal="center" vertical="center"/>
    </xf>
    <xf numFmtId="0" fontId="6" fillId="0" borderId="10" xfId="0" applyFont="1" applyFill="1" applyBorder="1" applyAlignment="1">
      <alignment horizontal="center" vertical="center"/>
    </xf>
    <xf numFmtId="0" fontId="6" fillId="0" borderId="32" xfId="0" applyFont="1" applyFill="1" applyBorder="1">
      <alignment vertical="center"/>
    </xf>
    <xf numFmtId="10" fontId="6" fillId="0" borderId="32" xfId="0" applyNumberFormat="1" applyFont="1" applyFill="1" applyBorder="1" applyAlignment="1">
      <alignment horizontal="center" vertical="center"/>
    </xf>
    <xf numFmtId="0" fontId="6" fillId="0" borderId="32" xfId="0" applyFont="1" applyFill="1" applyBorder="1" applyAlignment="1">
      <alignment horizontal="center" vertical="center"/>
    </xf>
    <xf numFmtId="10" fontId="6" fillId="0" borderId="5" xfId="0" applyNumberFormat="1" applyFont="1" applyBorder="1" applyAlignment="1">
      <alignment horizontal="center" vertical="center"/>
    </xf>
    <xf numFmtId="0" fontId="90" fillId="0" borderId="5" xfId="0" applyFont="1" applyBorder="1" applyAlignment="1">
      <alignment horizontal="center" vertical="center" wrapText="1" readingOrder="1"/>
    </xf>
    <xf numFmtId="0" fontId="6" fillId="0" borderId="70" xfId="0" applyFont="1" applyFill="1" applyBorder="1" applyAlignment="1">
      <alignment horizontal="left" vertical="center" wrapText="1" readingOrder="1"/>
    </xf>
    <xf numFmtId="10" fontId="6" fillId="0" borderId="70" xfId="0" applyNumberFormat="1" applyFont="1" applyBorder="1" applyAlignment="1">
      <alignment horizontal="center" vertical="center"/>
    </xf>
    <xf numFmtId="0" fontId="90" fillId="0" borderId="70" xfId="0" applyFont="1" applyBorder="1" applyAlignment="1">
      <alignment horizontal="center" vertical="center" wrapText="1" readingOrder="1"/>
    </xf>
    <xf numFmtId="0" fontId="6" fillId="0" borderId="69" xfId="0" applyFont="1" applyBorder="1" applyAlignment="1">
      <alignment horizontal="center" vertical="center" wrapText="1"/>
    </xf>
    <xf numFmtId="0" fontId="6" fillId="0" borderId="10" xfId="0" applyFont="1" applyFill="1" applyBorder="1" applyAlignment="1">
      <alignment vertical="center"/>
    </xf>
    <xf numFmtId="10" fontId="6" fillId="0" borderId="32" xfId="0" applyNumberFormat="1" applyFont="1" applyBorder="1" applyAlignment="1">
      <alignment horizontal="center" vertical="center"/>
    </xf>
    <xf numFmtId="0" fontId="90" fillId="0" borderId="32" xfId="0" applyFont="1" applyBorder="1" applyAlignment="1">
      <alignment horizontal="center" vertical="center" wrapText="1" readingOrder="1"/>
    </xf>
    <xf numFmtId="0" fontId="6" fillId="0" borderId="10" xfId="0" applyFont="1" applyFill="1" applyBorder="1" applyAlignment="1">
      <alignment horizontal="left" vertical="center" wrapText="1" readingOrder="1"/>
    </xf>
    <xf numFmtId="10" fontId="6" fillId="0" borderId="10" xfId="0" applyNumberFormat="1" applyFont="1" applyBorder="1" applyAlignment="1">
      <alignment horizontal="center" vertical="center"/>
    </xf>
    <xf numFmtId="0" fontId="90" fillId="0" borderId="10" xfId="0" applyFont="1" applyBorder="1" applyAlignment="1">
      <alignment horizontal="center" vertical="center" wrapText="1" readingOrder="1"/>
    </xf>
    <xf numFmtId="0" fontId="7" fillId="2" borderId="44" xfId="0" applyFont="1" applyFill="1" applyBorder="1" applyAlignment="1">
      <alignment horizontal="center" vertical="center" wrapText="1"/>
    </xf>
    <xf numFmtId="0" fontId="0" fillId="0" borderId="22" xfId="0" applyFill="1" applyBorder="1" applyAlignment="1">
      <alignment vertical="center"/>
    </xf>
    <xf numFmtId="43" fontId="4" fillId="0" borderId="22" xfId="4" applyNumberFormat="1" applyFont="1" applyFill="1" applyBorder="1" applyAlignment="1">
      <alignment vertical="center"/>
    </xf>
    <xf numFmtId="0" fontId="0" fillId="14" borderId="0" xfId="0" applyFill="1" applyAlignment="1">
      <alignment horizontal="center" vertical="center"/>
    </xf>
    <xf numFmtId="0" fontId="0" fillId="14" borderId="5" xfId="0" applyFill="1" applyBorder="1" applyAlignment="1">
      <alignment horizontal="center" vertical="center"/>
    </xf>
    <xf numFmtId="0" fontId="0" fillId="14" borderId="5" xfId="0" applyFill="1" applyBorder="1">
      <alignment vertical="center"/>
    </xf>
    <xf numFmtId="0" fontId="0" fillId="41" borderId="0" xfId="0" applyFill="1">
      <alignment vertical="center"/>
    </xf>
    <xf numFmtId="0" fontId="0" fillId="18" borderId="0" xfId="0" applyFill="1" applyAlignment="1">
      <alignment horizontal="center" vertical="center"/>
    </xf>
    <xf numFmtId="0" fontId="0" fillId="43" borderId="0" xfId="0" applyFill="1">
      <alignment vertical="center"/>
    </xf>
    <xf numFmtId="0" fontId="0" fillId="43" borderId="5" xfId="0" applyFill="1" applyBorder="1">
      <alignment vertical="center"/>
    </xf>
    <xf numFmtId="0" fontId="0" fillId="43" borderId="5" xfId="0" applyFill="1" applyBorder="1" applyAlignment="1">
      <alignment horizontal="center" vertical="center"/>
    </xf>
    <xf numFmtId="201" fontId="68" fillId="0" borderId="10" xfId="0" applyNumberFormat="1" applyFont="1" applyFill="1" applyBorder="1" applyAlignment="1">
      <alignment horizontal="center" vertical="center"/>
    </xf>
    <xf numFmtId="201" fontId="68" fillId="0" borderId="5" xfId="0" applyNumberFormat="1" applyFont="1" applyFill="1" applyBorder="1" applyAlignment="1">
      <alignment horizontal="center" vertical="center"/>
    </xf>
    <xf numFmtId="201" fontId="68" fillId="0" borderId="32" xfId="0" applyNumberFormat="1" applyFont="1" applyFill="1" applyBorder="1" applyAlignment="1">
      <alignment horizontal="center" vertical="center"/>
    </xf>
    <xf numFmtId="201" fontId="68" fillId="0" borderId="70" xfId="0" applyNumberFormat="1" applyFont="1" applyFill="1" applyBorder="1" applyAlignment="1">
      <alignment horizontal="center" vertical="center"/>
    </xf>
    <xf numFmtId="201" fontId="68" fillId="44" borderId="5" xfId="0" applyNumberFormat="1" applyFont="1" applyFill="1" applyBorder="1" applyAlignment="1">
      <alignment horizontal="center" vertical="center"/>
    </xf>
    <xf numFmtId="0" fontId="28" fillId="18" borderId="10" xfId="0" applyNumberFormat="1" applyFont="1" applyFill="1" applyBorder="1" applyAlignment="1">
      <alignment horizontal="center" vertical="center"/>
    </xf>
    <xf numFmtId="0" fontId="28" fillId="18" borderId="5" xfId="0" applyNumberFormat="1" applyFont="1" applyFill="1" applyBorder="1" applyAlignment="1">
      <alignment horizontal="center" vertical="center"/>
    </xf>
    <xf numFmtId="0" fontId="91" fillId="41" borderId="10" xfId="0" applyNumberFormat="1" applyFont="1" applyFill="1" applyBorder="1" applyAlignment="1">
      <alignment horizontal="center" vertical="center"/>
    </xf>
    <xf numFmtId="0" fontId="91" fillId="41" borderId="5" xfId="0" applyNumberFormat="1" applyFont="1" applyFill="1" applyBorder="1" applyAlignment="1">
      <alignment horizontal="center" vertical="center"/>
    </xf>
    <xf numFmtId="0" fontId="0" fillId="8" borderId="5" xfId="0" applyNumberFormat="1" applyFont="1" applyFill="1" applyBorder="1" applyAlignment="1">
      <alignment horizontal="center" vertical="center"/>
    </xf>
    <xf numFmtId="0" fontId="0" fillId="41" borderId="5" xfId="0" applyNumberFormat="1" applyFont="1" applyFill="1" applyBorder="1" applyAlignment="1">
      <alignment horizontal="center" vertical="center"/>
    </xf>
    <xf numFmtId="0" fontId="0" fillId="41" borderId="32" xfId="0" applyNumberFormat="1" applyFont="1" applyFill="1" applyBorder="1" applyAlignment="1">
      <alignment horizontal="center" vertical="center"/>
    </xf>
    <xf numFmtId="0" fontId="0" fillId="14" borderId="10" xfId="0" applyNumberFormat="1" applyFont="1" applyFill="1" applyBorder="1" applyAlignment="1">
      <alignment horizontal="center" vertical="center"/>
    </xf>
    <xf numFmtId="0" fontId="0" fillId="14" borderId="5" xfId="0" applyNumberFormat="1" applyFont="1" applyFill="1" applyBorder="1" applyAlignment="1">
      <alignment horizontal="center" vertical="center"/>
    </xf>
    <xf numFmtId="0" fontId="0" fillId="8" borderId="32" xfId="0" applyNumberFormat="1" applyFont="1" applyFill="1" applyBorder="1" applyAlignment="1">
      <alignment horizontal="center" vertical="center"/>
    </xf>
    <xf numFmtId="0" fontId="0" fillId="14" borderId="32" xfId="0" applyNumberFormat="1" applyFont="1" applyFill="1" applyBorder="1" applyAlignment="1">
      <alignment horizontal="center" vertical="center"/>
    </xf>
    <xf numFmtId="0" fontId="0" fillId="8" borderId="5" xfId="0" applyFont="1" applyFill="1" applyBorder="1" applyAlignment="1">
      <alignment horizontal="center" vertical="center"/>
    </xf>
    <xf numFmtId="0" fontId="6" fillId="0" borderId="72" xfId="0" applyFont="1" applyFill="1" applyBorder="1" applyAlignment="1">
      <alignment horizontal="center" vertical="center" wrapText="1"/>
    </xf>
    <xf numFmtId="0" fontId="6" fillId="0" borderId="10" xfId="0" applyFont="1" applyFill="1" applyBorder="1" applyAlignment="1">
      <alignment horizontal="left" vertical="center"/>
    </xf>
    <xf numFmtId="0" fontId="0" fillId="8" borderId="10" xfId="0" applyFont="1" applyFill="1" applyBorder="1" applyAlignment="1">
      <alignment horizontal="center" vertical="center"/>
    </xf>
    <xf numFmtId="10" fontId="0" fillId="0" borderId="0" xfId="0" applyNumberFormat="1">
      <alignment vertical="center"/>
    </xf>
    <xf numFmtId="41" fontId="69" fillId="0" borderId="0" xfId="0" applyNumberFormat="1" applyFont="1" applyFill="1" applyBorder="1" applyAlignment="1">
      <alignment horizontal="center" vertical="center"/>
    </xf>
    <xf numFmtId="41" fontId="69" fillId="2" borderId="5" xfId="0" applyNumberFormat="1" applyFont="1" applyFill="1" applyBorder="1" applyAlignment="1">
      <alignment horizontal="center" vertical="center"/>
    </xf>
    <xf numFmtId="0" fontId="69" fillId="2" borderId="5" xfId="0" applyNumberFormat="1" applyFont="1" applyFill="1" applyBorder="1" applyAlignment="1">
      <alignment horizontal="center" vertical="center"/>
    </xf>
    <xf numFmtId="180" fontId="69" fillId="2" borderId="5" xfId="0" applyNumberFormat="1" applyFont="1" applyFill="1" applyBorder="1" applyAlignment="1">
      <alignment horizontal="center" vertical="center"/>
    </xf>
    <xf numFmtId="0" fontId="7" fillId="15" borderId="14" xfId="0" applyFont="1" applyFill="1" applyBorder="1" applyAlignment="1">
      <alignment vertical="center"/>
    </xf>
    <xf numFmtId="0" fontId="69" fillId="15" borderId="74" xfId="0" applyFont="1" applyFill="1" applyBorder="1" applyAlignment="1">
      <alignment vertical="center"/>
    </xf>
    <xf numFmtId="10" fontId="0" fillId="0" borderId="5" xfId="0" applyNumberFormat="1" applyBorder="1">
      <alignment vertical="center"/>
    </xf>
    <xf numFmtId="10" fontId="0" fillId="0" borderId="5" xfId="0" applyNumberFormat="1" applyBorder="1" applyAlignment="1">
      <alignment horizontal="center" vertical="center"/>
    </xf>
    <xf numFmtId="0" fontId="0" fillId="0" borderId="5" xfId="0" applyBorder="1" applyAlignment="1">
      <alignment horizontal="center" vertical="center"/>
    </xf>
    <xf numFmtId="0" fontId="6" fillId="0" borderId="5" xfId="0" applyFont="1" applyFill="1" applyBorder="1" applyAlignment="1">
      <alignment vertical="center" wrapText="1"/>
    </xf>
    <xf numFmtId="0" fontId="0" fillId="0" borderId="12" xfId="0" applyBorder="1">
      <alignment vertical="center"/>
    </xf>
    <xf numFmtId="0" fontId="90" fillId="0" borderId="10" xfId="0" applyFont="1" applyFill="1" applyBorder="1" applyAlignment="1">
      <alignment horizontal="center" vertical="center" wrapText="1" readingOrder="1"/>
    </xf>
    <xf numFmtId="0" fontId="90" fillId="0" borderId="32" xfId="0" applyFont="1" applyFill="1" applyBorder="1" applyAlignment="1">
      <alignment horizontal="center" vertical="center" wrapText="1" readingOrder="1"/>
    </xf>
    <xf numFmtId="0" fontId="0" fillId="0" borderId="10" xfId="0" applyBorder="1">
      <alignment vertical="center"/>
    </xf>
    <xf numFmtId="0" fontId="6" fillId="0" borderId="32" xfId="0" applyFont="1" applyFill="1" applyBorder="1" applyAlignment="1">
      <alignment vertical="center" wrapText="1"/>
    </xf>
    <xf numFmtId="0" fontId="6" fillId="0" borderId="5" xfId="0" applyFont="1" applyFill="1" applyBorder="1" applyAlignment="1">
      <alignment horizontal="left" vertical="top" wrapText="1"/>
    </xf>
    <xf numFmtId="0" fontId="6" fillId="0" borderId="10" xfId="0" applyFont="1" applyFill="1" applyBorder="1" applyAlignment="1">
      <alignment horizontal="left" vertical="center" wrapText="1"/>
    </xf>
    <xf numFmtId="0" fontId="6" fillId="0" borderId="10" xfId="0" applyFont="1" applyFill="1" applyBorder="1" applyAlignment="1">
      <alignment vertical="center" wrapText="1"/>
    </xf>
    <xf numFmtId="0" fontId="6" fillId="0" borderId="0" xfId="0" applyFont="1" applyFill="1" applyBorder="1" applyAlignment="1">
      <alignment vertical="center" wrapText="1" readingOrder="1"/>
    </xf>
    <xf numFmtId="0" fontId="6" fillId="0" borderId="69" xfId="0" applyFont="1" applyFill="1" applyBorder="1" applyAlignment="1">
      <alignment vertical="center" wrapText="1" readingOrder="1"/>
    </xf>
    <xf numFmtId="0" fontId="25" fillId="0" borderId="70" xfId="0" applyFont="1" applyFill="1" applyBorder="1">
      <alignment vertical="center"/>
    </xf>
    <xf numFmtId="10" fontId="6" fillId="0" borderId="70" xfId="0" applyNumberFormat="1" applyFont="1" applyFill="1" applyBorder="1" applyAlignment="1">
      <alignment horizontal="center" vertical="center"/>
    </xf>
    <xf numFmtId="0" fontId="90" fillId="0" borderId="70" xfId="0" applyFont="1" applyFill="1" applyBorder="1" applyAlignment="1">
      <alignment horizontal="center" vertical="center" wrapText="1" readingOrder="1"/>
    </xf>
    <xf numFmtId="0" fontId="0" fillId="8" borderId="5" xfId="0" applyNumberFormat="1" applyFill="1" applyBorder="1" applyAlignment="1">
      <alignment horizontal="center" vertical="center"/>
    </xf>
    <xf numFmtId="0" fontId="0" fillId="45" borderId="5" xfId="0" applyNumberFormat="1" applyFill="1" applyBorder="1" applyAlignment="1">
      <alignment horizontal="center" vertical="center"/>
    </xf>
    <xf numFmtId="0" fontId="0" fillId="14" borderId="5" xfId="0" applyNumberFormat="1" applyFill="1" applyBorder="1" applyAlignment="1">
      <alignment horizontal="center" vertical="center"/>
    </xf>
    <xf numFmtId="0" fontId="0" fillId="18" borderId="5" xfId="0" applyNumberFormat="1" applyFill="1" applyBorder="1" applyAlignment="1">
      <alignment horizontal="center" vertical="center"/>
    </xf>
    <xf numFmtId="0" fontId="0" fillId="38" borderId="2" xfId="0" applyNumberFormat="1" applyFill="1" applyBorder="1" applyAlignment="1">
      <alignment horizontal="center" vertical="center"/>
    </xf>
    <xf numFmtId="10" fontId="0" fillId="43" borderId="5" xfId="0" applyNumberFormat="1" applyFill="1" applyBorder="1">
      <alignment vertical="center"/>
    </xf>
    <xf numFmtId="0" fontId="0" fillId="8" borderId="5" xfId="0" applyFill="1" applyBorder="1" applyAlignment="1">
      <alignment horizontal="center" vertical="center"/>
    </xf>
    <xf numFmtId="10" fontId="0" fillId="0" borderId="5" xfId="0" applyNumberFormat="1" applyFill="1" applyBorder="1" applyAlignment="1">
      <alignment horizontal="center" vertical="center"/>
    </xf>
    <xf numFmtId="0" fontId="0" fillId="18" borderId="5" xfId="0" applyFill="1" applyBorder="1" applyAlignment="1">
      <alignment horizontal="center" vertical="center"/>
    </xf>
    <xf numFmtId="0" fontId="0" fillId="38" borderId="2" xfId="0" applyFill="1" applyBorder="1" applyAlignment="1">
      <alignment horizontal="center" vertical="center"/>
    </xf>
    <xf numFmtId="0" fontId="0" fillId="45" borderId="5" xfId="0" applyFill="1" applyBorder="1" applyAlignment="1">
      <alignment horizontal="center" vertical="center"/>
    </xf>
    <xf numFmtId="182" fontId="0" fillId="8" borderId="10" xfId="0" applyNumberFormat="1" applyFill="1" applyBorder="1" applyAlignment="1">
      <alignment horizontal="center" vertical="center"/>
    </xf>
    <xf numFmtId="182" fontId="0" fillId="45" borderId="10" xfId="0" applyNumberFormat="1" applyFill="1" applyBorder="1" applyAlignment="1">
      <alignment horizontal="center" vertical="center"/>
    </xf>
    <xf numFmtId="182" fontId="0" fillId="14" borderId="10" xfId="0" applyNumberFormat="1" applyFill="1" applyBorder="1" applyAlignment="1">
      <alignment horizontal="center" vertical="center"/>
    </xf>
    <xf numFmtId="182" fontId="0" fillId="18" borderId="10" xfId="0" applyNumberFormat="1" applyFill="1" applyBorder="1" applyAlignment="1">
      <alignment horizontal="center" vertical="center"/>
    </xf>
    <xf numFmtId="0" fontId="0" fillId="0" borderId="2" xfId="0" applyBorder="1" applyAlignment="1">
      <alignment horizontal="center" vertical="center"/>
    </xf>
    <xf numFmtId="10" fontId="0" fillId="8" borderId="5" xfId="0" applyNumberFormat="1" applyFill="1" applyBorder="1" applyAlignment="1">
      <alignment horizontal="center" vertical="center"/>
    </xf>
    <xf numFmtId="10" fontId="0" fillId="14" borderId="5" xfId="0" applyNumberFormat="1" applyFill="1" applyBorder="1" applyAlignment="1">
      <alignment horizontal="center" vertical="center"/>
    </xf>
    <xf numFmtId="10" fontId="0" fillId="18" borderId="5" xfId="0" applyNumberFormat="1" applyFill="1" applyBorder="1" applyAlignment="1">
      <alignment horizontal="center" vertical="center"/>
    </xf>
    <xf numFmtId="10" fontId="0" fillId="38" borderId="2" xfId="0" applyNumberFormat="1" applyFill="1" applyBorder="1" applyAlignment="1">
      <alignment horizontal="center" vertical="center"/>
    </xf>
    <xf numFmtId="185" fontId="0" fillId="8" borderId="10" xfId="0" applyNumberFormat="1" applyFill="1" applyBorder="1" applyAlignment="1">
      <alignment horizontal="center" vertical="center"/>
    </xf>
    <xf numFmtId="185" fontId="0" fillId="45" borderId="10" xfId="0" applyNumberFormat="1" applyFill="1" applyBorder="1" applyAlignment="1">
      <alignment horizontal="center" vertical="center"/>
    </xf>
    <xf numFmtId="185" fontId="0" fillId="14" borderId="10" xfId="0" applyNumberFormat="1" applyFill="1" applyBorder="1" applyAlignment="1">
      <alignment horizontal="center" vertical="center"/>
    </xf>
    <xf numFmtId="185" fontId="0" fillId="18" borderId="10" xfId="0" applyNumberFormat="1" applyFill="1" applyBorder="1" applyAlignment="1">
      <alignment horizontal="center" vertical="center"/>
    </xf>
    <xf numFmtId="185" fontId="0" fillId="8" borderId="5" xfId="0" applyNumberFormat="1" applyFill="1" applyBorder="1" applyAlignment="1">
      <alignment horizontal="center" vertical="center"/>
    </xf>
    <xf numFmtId="185" fontId="0" fillId="45" borderId="5" xfId="0" applyNumberFormat="1" applyFill="1" applyBorder="1" applyAlignment="1">
      <alignment horizontal="center" vertical="center"/>
    </xf>
    <xf numFmtId="185" fontId="0" fillId="14" borderId="5" xfId="0" applyNumberFormat="1" applyFill="1" applyBorder="1" applyAlignment="1">
      <alignment horizontal="center" vertical="center"/>
    </xf>
    <xf numFmtId="185" fontId="0" fillId="18" borderId="5" xfId="0" applyNumberFormat="1" applyFill="1" applyBorder="1" applyAlignment="1">
      <alignment horizontal="center" vertical="center"/>
    </xf>
    <xf numFmtId="185" fontId="0" fillId="38" borderId="2" xfId="0" applyNumberFormat="1" applyFill="1" applyBorder="1" applyAlignment="1">
      <alignment horizontal="center" vertical="center"/>
    </xf>
    <xf numFmtId="0" fontId="90" fillId="0" borderId="10" xfId="0" applyFont="1" applyFill="1" applyBorder="1" applyAlignment="1">
      <alignment horizontal="left" vertical="center" wrapText="1" readingOrder="1"/>
    </xf>
    <xf numFmtId="0" fontId="91" fillId="0" borderId="5" xfId="0" applyFont="1" applyBorder="1">
      <alignment vertical="center"/>
    </xf>
    <xf numFmtId="0" fontId="91" fillId="0" borderId="5" xfId="0" applyFont="1" applyFill="1" applyBorder="1">
      <alignment vertical="center"/>
    </xf>
    <xf numFmtId="0" fontId="91" fillId="0" borderId="10" xfId="0" applyFont="1" applyBorder="1">
      <alignment vertical="center"/>
    </xf>
    <xf numFmtId="0" fontId="91" fillId="0" borderId="70" xfId="0" applyFont="1" applyBorder="1">
      <alignment vertical="center"/>
    </xf>
    <xf numFmtId="0" fontId="91" fillId="45" borderId="5" xfId="0" applyFont="1" applyFill="1" applyBorder="1" applyAlignment="1">
      <alignment horizontal="center" vertical="center"/>
    </xf>
    <xf numFmtId="0" fontId="91" fillId="14" borderId="5" xfId="0" applyFont="1" applyFill="1" applyBorder="1" applyAlignment="1">
      <alignment horizontal="center" vertical="center"/>
    </xf>
    <xf numFmtId="0" fontId="91" fillId="18" borderId="5" xfId="0" applyFont="1" applyFill="1" applyBorder="1" applyAlignment="1">
      <alignment horizontal="center" vertical="center"/>
    </xf>
    <xf numFmtId="0" fontId="91" fillId="38" borderId="2" xfId="0" applyFont="1" applyFill="1" applyBorder="1" applyAlignment="1">
      <alignment horizontal="center" vertical="center"/>
    </xf>
    <xf numFmtId="177" fontId="0" fillId="0" borderId="5" xfId="0" applyNumberFormat="1" applyFill="1" applyBorder="1">
      <alignment vertical="center"/>
    </xf>
    <xf numFmtId="177" fontId="0" fillId="8" borderId="5" xfId="0" applyNumberFormat="1" applyFill="1" applyBorder="1" applyAlignment="1">
      <alignment horizontal="center" vertical="center"/>
    </xf>
    <xf numFmtId="177" fontId="0" fillId="45" borderId="5" xfId="0" applyNumberFormat="1" applyFill="1" applyBorder="1" applyAlignment="1">
      <alignment horizontal="center" vertical="center"/>
    </xf>
    <xf numFmtId="177" fontId="0" fillId="14" borderId="5" xfId="0" applyNumberFormat="1" applyFill="1" applyBorder="1" applyAlignment="1">
      <alignment horizontal="center" vertical="center"/>
    </xf>
    <xf numFmtId="177" fontId="0" fillId="18" borderId="5" xfId="0" applyNumberFormat="1" applyFill="1" applyBorder="1" applyAlignment="1">
      <alignment horizontal="center" vertical="center"/>
    </xf>
    <xf numFmtId="177" fontId="0" fillId="38" borderId="2" xfId="0" applyNumberFormat="1" applyFill="1" applyBorder="1" applyAlignment="1">
      <alignment horizontal="center" vertical="center"/>
    </xf>
    <xf numFmtId="0" fontId="0" fillId="0" borderId="5" xfId="0" applyNumberFormat="1" applyBorder="1">
      <alignment vertical="center"/>
    </xf>
    <xf numFmtId="0" fontId="91" fillId="43" borderId="10" xfId="0" applyNumberFormat="1" applyFont="1" applyFill="1" applyBorder="1" applyAlignment="1">
      <alignment horizontal="center" vertical="center"/>
    </xf>
    <xf numFmtId="0" fontId="91" fillId="8" borderId="5" xfId="0" applyNumberFormat="1" applyFont="1" applyFill="1" applyBorder="1" applyAlignment="1">
      <alignment horizontal="center" vertical="center"/>
    </xf>
    <xf numFmtId="0" fontId="91" fillId="45" borderId="5" xfId="0" applyNumberFormat="1" applyFont="1" applyFill="1" applyBorder="1" applyAlignment="1">
      <alignment horizontal="center" vertical="center"/>
    </xf>
    <xf numFmtId="0" fontId="91" fillId="14" borderId="5" xfId="0" applyNumberFormat="1" applyFont="1" applyFill="1" applyBorder="1" applyAlignment="1">
      <alignment horizontal="center" vertical="center"/>
    </xf>
    <xf numFmtId="0" fontId="91" fillId="18" borderId="5" xfId="0" applyNumberFormat="1" applyFont="1" applyFill="1" applyBorder="1" applyAlignment="1">
      <alignment horizontal="center" vertical="center"/>
    </xf>
    <xf numFmtId="0" fontId="91" fillId="38" borderId="2" xfId="0" applyNumberFormat="1" applyFont="1" applyFill="1" applyBorder="1" applyAlignment="1">
      <alignment horizontal="center" vertical="center"/>
    </xf>
    <xf numFmtId="0" fontId="91" fillId="0" borderId="2" xfId="0" applyNumberFormat="1" applyFont="1" applyFill="1" applyBorder="1" applyAlignment="1">
      <alignment horizontal="center" vertical="center"/>
    </xf>
    <xf numFmtId="0" fontId="91" fillId="0" borderId="5" xfId="0" applyNumberFormat="1" applyFont="1" applyBorder="1" applyAlignment="1">
      <alignment horizontal="center" vertical="center"/>
    </xf>
    <xf numFmtId="0" fontId="91" fillId="0" borderId="5" xfId="0" applyNumberFormat="1" applyFont="1" applyFill="1" applyBorder="1" applyAlignment="1">
      <alignment horizontal="center" vertical="center"/>
    </xf>
    <xf numFmtId="0" fontId="91" fillId="0" borderId="2" xfId="0" applyNumberFormat="1" applyFont="1" applyBorder="1" applyAlignment="1">
      <alignment horizontal="center" vertical="center"/>
    </xf>
    <xf numFmtId="182" fontId="91" fillId="8" borderId="5" xfId="0" applyNumberFormat="1" applyFont="1" applyFill="1" applyBorder="1" applyAlignment="1">
      <alignment horizontal="center" vertical="center"/>
    </xf>
    <xf numFmtId="0" fontId="91" fillId="43" borderId="5" xfId="0" applyFont="1" applyFill="1" applyBorder="1" applyAlignment="1">
      <alignment horizontal="center" vertical="center"/>
    </xf>
    <xf numFmtId="0" fontId="91" fillId="8" borderId="5" xfId="0" applyFont="1" applyFill="1" applyBorder="1" applyAlignment="1">
      <alignment horizontal="center" vertical="center"/>
    </xf>
    <xf numFmtId="0" fontId="91" fillId="0" borderId="5" xfId="0" applyFont="1" applyBorder="1" applyAlignment="1">
      <alignment horizontal="center" vertical="center"/>
    </xf>
    <xf numFmtId="0" fontId="91" fillId="8" borderId="32" xfId="0" applyFont="1" applyFill="1" applyBorder="1" applyAlignment="1">
      <alignment horizontal="center" vertical="center"/>
    </xf>
    <xf numFmtId="0" fontId="91" fillId="46" borderId="5" xfId="0" applyFont="1" applyFill="1" applyBorder="1" applyAlignment="1">
      <alignment horizontal="center" vertical="center"/>
    </xf>
    <xf numFmtId="0" fontId="91" fillId="47" borderId="5" xfId="0" applyFont="1" applyFill="1" applyBorder="1" applyAlignment="1">
      <alignment horizontal="center" vertical="center"/>
    </xf>
    <xf numFmtId="0" fontId="91" fillId="48" borderId="5" xfId="0" applyFont="1" applyFill="1" applyBorder="1" applyAlignment="1">
      <alignment horizontal="center" vertical="center"/>
    </xf>
    <xf numFmtId="0" fontId="91" fillId="42" borderId="5" xfId="0" applyFont="1" applyFill="1" applyBorder="1" applyAlignment="1">
      <alignment horizontal="center" vertical="center"/>
    </xf>
    <xf numFmtId="0" fontId="91" fillId="40" borderId="5" xfId="0" applyFont="1" applyFill="1" applyBorder="1" applyAlignment="1">
      <alignment horizontal="center" vertical="center"/>
    </xf>
    <xf numFmtId="0" fontId="91" fillId="39" borderId="2" xfId="0" applyFont="1" applyFill="1" applyBorder="1" applyAlignment="1">
      <alignment horizontal="center" vertical="center"/>
    </xf>
    <xf numFmtId="0" fontId="6" fillId="0" borderId="22" xfId="0" applyFont="1" applyFill="1" applyBorder="1" applyAlignment="1">
      <alignment vertical="center"/>
    </xf>
    <xf numFmtId="185" fontId="0" fillId="38" borderId="65" xfId="0" applyNumberFormat="1" applyFill="1" applyBorder="1" applyAlignment="1">
      <alignment horizontal="center" vertical="center"/>
    </xf>
    <xf numFmtId="0" fontId="91" fillId="0" borderId="32" xfId="0" applyFont="1" applyBorder="1">
      <alignment vertical="center"/>
    </xf>
    <xf numFmtId="182" fontId="91" fillId="43" borderId="10" xfId="0" applyNumberFormat="1" applyFont="1" applyFill="1" applyBorder="1" applyAlignment="1">
      <alignment horizontal="center" vertical="center"/>
    </xf>
    <xf numFmtId="185" fontId="91" fillId="43" borderId="5" xfId="0" applyNumberFormat="1" applyFont="1" applyFill="1" applyBorder="1" applyAlignment="1">
      <alignment horizontal="center" vertical="center"/>
    </xf>
    <xf numFmtId="0" fontId="91" fillId="46" borderId="5" xfId="0" applyNumberFormat="1" applyFont="1" applyFill="1" applyBorder="1" applyAlignment="1">
      <alignment horizontal="center" vertical="center"/>
    </xf>
    <xf numFmtId="0" fontId="91" fillId="0" borderId="2" xfId="0" applyFont="1" applyBorder="1" applyAlignment="1">
      <alignment horizontal="center" vertical="center"/>
    </xf>
    <xf numFmtId="0" fontId="91" fillId="45" borderId="70" xfId="0" applyFont="1" applyFill="1" applyBorder="1" applyAlignment="1">
      <alignment horizontal="center" vertical="center"/>
    </xf>
    <xf numFmtId="0" fontId="91" fillId="14" borderId="70" xfId="0" applyFont="1" applyFill="1" applyBorder="1" applyAlignment="1">
      <alignment horizontal="center" vertical="center"/>
    </xf>
    <xf numFmtId="177" fontId="0" fillId="0" borderId="0" xfId="0" applyNumberFormat="1">
      <alignment vertical="center"/>
    </xf>
    <xf numFmtId="0" fontId="0" fillId="45" borderId="0" xfId="0" applyFill="1">
      <alignment vertical="center"/>
    </xf>
    <xf numFmtId="0" fontId="0" fillId="10" borderId="77" xfId="0" applyNumberFormat="1" applyFont="1" applyFill="1" applyBorder="1" applyAlignment="1">
      <alignment horizontal="center" vertical="center"/>
    </xf>
    <xf numFmtId="0" fontId="0" fillId="10" borderId="78" xfId="0" applyNumberFormat="1" applyFont="1" applyFill="1" applyBorder="1" applyAlignment="1">
      <alignment horizontal="center" vertical="center"/>
    </xf>
    <xf numFmtId="0" fontId="0" fillId="10" borderId="76" xfId="0" applyNumberFormat="1" applyFont="1" applyFill="1" applyBorder="1" applyAlignment="1">
      <alignment horizontal="center" vertical="center"/>
    </xf>
    <xf numFmtId="0" fontId="0" fillId="10" borderId="21" xfId="0" applyNumberFormat="1" applyFont="1" applyFill="1" applyBorder="1" applyAlignment="1">
      <alignment horizontal="center" vertical="center"/>
    </xf>
    <xf numFmtId="201" fontId="68" fillId="0" borderId="76" xfId="0" applyNumberFormat="1" applyFont="1" applyFill="1" applyBorder="1" applyAlignment="1">
      <alignment horizontal="center" vertical="center"/>
    </xf>
    <xf numFmtId="201" fontId="68" fillId="0" borderId="21" xfId="0" applyNumberFormat="1" applyFont="1" applyFill="1" applyBorder="1" applyAlignment="1">
      <alignment horizontal="center" vertical="center"/>
    </xf>
    <xf numFmtId="201" fontId="68" fillId="0" borderId="77" xfId="0" applyNumberFormat="1" applyFont="1" applyFill="1" applyBorder="1" applyAlignment="1">
      <alignment horizontal="center" vertical="center"/>
    </xf>
    <xf numFmtId="201" fontId="68" fillId="44" borderId="21" xfId="0" applyNumberFormat="1" applyFont="1" applyFill="1" applyBorder="1" applyAlignment="1">
      <alignment horizontal="center" vertical="center"/>
    </xf>
    <xf numFmtId="41" fontId="0" fillId="10" borderId="21" xfId="0" applyNumberFormat="1" applyFont="1" applyFill="1" applyBorder="1">
      <alignment vertical="center"/>
    </xf>
    <xf numFmtId="0" fontId="4" fillId="0" borderId="5" xfId="4" applyNumberFormat="1" applyFont="1" applyFill="1" applyBorder="1" applyAlignment="1">
      <alignment horizontal="center" vertical="center"/>
    </xf>
    <xf numFmtId="0" fontId="91" fillId="8" borderId="10" xfId="0" applyFont="1" applyFill="1" applyBorder="1" applyAlignment="1">
      <alignment horizontal="center" vertical="center"/>
    </xf>
    <xf numFmtId="0" fontId="91" fillId="45" borderId="10" xfId="0" applyNumberFormat="1" applyFont="1" applyFill="1" applyBorder="1" applyAlignment="1">
      <alignment horizontal="center" vertical="center"/>
    </xf>
    <xf numFmtId="0" fontId="91" fillId="14" borderId="10" xfId="0" applyFont="1" applyFill="1" applyBorder="1" applyAlignment="1">
      <alignment horizontal="center" vertical="center"/>
    </xf>
    <xf numFmtId="0" fontId="91" fillId="18" borderId="10" xfId="0" applyFont="1" applyFill="1" applyBorder="1" applyAlignment="1">
      <alignment horizontal="center" vertical="center"/>
    </xf>
    <xf numFmtId="0" fontId="91" fillId="38" borderId="65" xfId="0" applyFont="1" applyFill="1" applyBorder="1" applyAlignment="1">
      <alignment horizontal="center" vertical="center"/>
    </xf>
    <xf numFmtId="0" fontId="91" fillId="8" borderId="4" xfId="0" applyFont="1" applyFill="1" applyBorder="1" applyAlignment="1">
      <alignment horizontal="center" vertical="center"/>
    </xf>
    <xf numFmtId="177" fontId="76" fillId="0" borderId="12" xfId="0" applyNumberFormat="1" applyFont="1" applyBorder="1">
      <alignment vertical="center"/>
    </xf>
    <xf numFmtId="190" fontId="91" fillId="43" borderId="5" xfId="0" applyNumberFormat="1" applyFont="1" applyFill="1" applyBorder="1" applyAlignment="1">
      <alignment horizontal="center" vertical="center"/>
    </xf>
    <xf numFmtId="0" fontId="6" fillId="0" borderId="75"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38" xfId="0" applyFont="1" applyFill="1" applyBorder="1" applyAlignment="1">
      <alignment horizontal="left"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6" fillId="49" borderId="10" xfId="0" applyFont="1" applyFill="1" applyBorder="1" applyAlignment="1">
      <alignment horizontal="center" vertical="center"/>
    </xf>
    <xf numFmtId="0" fontId="6" fillId="49" borderId="65" xfId="0" applyFont="1" applyFill="1" applyBorder="1" applyAlignment="1">
      <alignment horizontal="center" vertical="center"/>
    </xf>
    <xf numFmtId="188" fontId="0" fillId="0" borderId="38" xfId="0" applyNumberFormat="1" applyBorder="1" applyAlignment="1">
      <alignment horizontal="center" vertical="center"/>
    </xf>
    <xf numFmtId="180" fontId="0" fillId="0" borderId="38" xfId="4" applyNumberFormat="1" applyFont="1" applyBorder="1" applyAlignment="1">
      <alignment horizontal="center" vertical="center"/>
    </xf>
    <xf numFmtId="0" fontId="11" fillId="4" borderId="1" xfId="0" applyFont="1" applyFill="1" applyBorder="1" applyAlignment="1">
      <alignment horizontal="center" vertical="center" wrapText="1"/>
    </xf>
    <xf numFmtId="0" fontId="6" fillId="49" borderId="5" xfId="0" applyFont="1" applyFill="1" applyBorder="1" applyAlignment="1">
      <alignment horizontal="center" vertical="center"/>
    </xf>
    <xf numFmtId="0" fontId="6" fillId="49" borderId="2" xfId="0" applyFont="1" applyFill="1" applyBorder="1" applyAlignment="1">
      <alignment horizontal="center" vertical="center"/>
    </xf>
    <xf numFmtId="0" fontId="0" fillId="0" borderId="5" xfId="0" applyBorder="1" applyAlignment="1">
      <alignment horizontal="left" vertical="center"/>
    </xf>
    <xf numFmtId="182" fontId="0" fillId="0" borderId="5" xfId="0" applyNumberFormat="1" applyBorder="1" applyAlignment="1">
      <alignment horizontal="center" vertical="center"/>
    </xf>
    <xf numFmtId="0" fontId="11" fillId="4" borderId="3"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6" fillId="49" borderId="32" xfId="0" applyFont="1" applyFill="1" applyBorder="1" applyAlignment="1">
      <alignment horizontal="center" vertical="center"/>
    </xf>
    <xf numFmtId="0" fontId="6" fillId="49" borderId="4" xfId="0" applyFont="1" applyFill="1" applyBorder="1" applyAlignment="1">
      <alignment horizontal="center" vertical="center"/>
    </xf>
    <xf numFmtId="0" fontId="11" fillId="4" borderId="17" xfId="0" applyFont="1" applyFill="1" applyBorder="1" applyAlignment="1">
      <alignment horizontal="center" vertical="center" wrapText="1"/>
    </xf>
    <xf numFmtId="0" fontId="6" fillId="49" borderId="10" xfId="0" applyFont="1" applyFill="1" applyBorder="1" applyAlignment="1">
      <alignment horizontal="center" vertical="center" wrapText="1"/>
    </xf>
    <xf numFmtId="0" fontId="6" fillId="49" borderId="65" xfId="0" applyFont="1" applyFill="1" applyBorder="1" applyAlignment="1">
      <alignment horizontal="center" vertical="center" wrapText="1"/>
    </xf>
    <xf numFmtId="0" fontId="6" fillId="49" borderId="5" xfId="0" applyFont="1" applyFill="1" applyBorder="1" applyAlignment="1">
      <alignment horizontal="center" vertical="center" wrapText="1"/>
    </xf>
    <xf numFmtId="0" fontId="6" fillId="49" borderId="2" xfId="0" applyFont="1" applyFill="1" applyBorder="1" applyAlignment="1">
      <alignment horizontal="center" vertical="center" wrapText="1"/>
    </xf>
    <xf numFmtId="0" fontId="6" fillId="49" borderId="32" xfId="0" applyFont="1" applyFill="1" applyBorder="1" applyAlignment="1">
      <alignment horizontal="center" vertical="center" wrapText="1"/>
    </xf>
    <xf numFmtId="0" fontId="6" fillId="49" borderId="4"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4" borderId="37" xfId="0" applyFont="1" applyFill="1" applyBorder="1" applyAlignment="1">
      <alignment horizontal="center" vertical="center" wrapText="1"/>
    </xf>
    <xf numFmtId="188" fontId="0" fillId="0" borderId="0" xfId="0" applyNumberFormat="1">
      <alignment vertical="center"/>
    </xf>
    <xf numFmtId="43" fontId="0" fillId="0" borderId="0" xfId="4" applyFont="1">
      <alignment vertical="center"/>
    </xf>
    <xf numFmtId="0" fontId="11" fillId="0" borderId="0" xfId="0" applyFont="1" applyFill="1" applyBorder="1" applyAlignment="1">
      <alignment horizontal="center" vertical="center" wrapText="1"/>
    </xf>
    <xf numFmtId="182" fontId="0" fillId="38" borderId="65" xfId="0" applyNumberFormat="1" applyFill="1" applyBorder="1" applyAlignment="1">
      <alignment horizontal="center" vertical="center"/>
    </xf>
    <xf numFmtId="0" fontId="6" fillId="0" borderId="75" xfId="0" applyFont="1" applyFill="1" applyBorder="1" applyAlignment="1">
      <alignment horizontal="left" vertical="center" wrapText="1"/>
    </xf>
    <xf numFmtId="0" fontId="6" fillId="0" borderId="79" xfId="0" applyFont="1" applyFill="1" applyBorder="1" applyAlignment="1">
      <alignment horizontal="center" vertical="center" wrapText="1"/>
    </xf>
    <xf numFmtId="0" fontId="6" fillId="0" borderId="79" xfId="0" applyFont="1" applyFill="1" applyBorder="1" applyAlignment="1">
      <alignment horizontal="left" vertical="center" wrapText="1"/>
    </xf>
    <xf numFmtId="9" fontId="0" fillId="0" borderId="10" xfId="0" applyNumberFormat="1" applyBorder="1">
      <alignment vertical="center"/>
    </xf>
    <xf numFmtId="177" fontId="0" fillId="0" borderId="65" xfId="4" applyNumberFormat="1" applyFont="1" applyBorder="1">
      <alignment vertical="center"/>
    </xf>
    <xf numFmtId="9" fontId="0" fillId="0" borderId="5" xfId="0" applyNumberFormat="1" applyBorder="1">
      <alignment vertical="center"/>
    </xf>
    <xf numFmtId="177" fontId="0" fillId="0" borderId="2" xfId="4" applyNumberFormat="1" applyFont="1" applyBorder="1">
      <alignment vertical="center"/>
    </xf>
    <xf numFmtId="9" fontId="0" fillId="0" borderId="32" xfId="0" applyNumberFormat="1" applyBorder="1">
      <alignment vertical="center"/>
    </xf>
    <xf numFmtId="177" fontId="0" fillId="0" borderId="4" xfId="4" applyNumberFormat="1" applyFont="1" applyBorder="1">
      <alignment vertical="center"/>
    </xf>
    <xf numFmtId="0" fontId="6" fillId="0" borderId="33"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69" xfId="0" applyFont="1" applyFill="1" applyBorder="1" applyAlignment="1">
      <alignment horizontal="left" vertical="center" wrapText="1"/>
    </xf>
    <xf numFmtId="0" fontId="6" fillId="0" borderId="70" xfId="0" applyFont="1" applyFill="1" applyBorder="1" applyAlignment="1">
      <alignment horizontal="left" vertical="center" wrapText="1"/>
    </xf>
    <xf numFmtId="0" fontId="6" fillId="0" borderId="71" xfId="0" applyFont="1" applyFill="1" applyBorder="1" applyAlignment="1">
      <alignment horizontal="left" vertical="center" wrapText="1"/>
    </xf>
    <xf numFmtId="0" fontId="11" fillId="4" borderId="75" xfId="0" applyFont="1" applyFill="1" applyBorder="1" applyAlignment="1">
      <alignment horizontal="center" vertical="center" wrapText="1"/>
    </xf>
    <xf numFmtId="0" fontId="11" fillId="4" borderId="22" xfId="0" applyFont="1" applyFill="1" applyBorder="1" applyAlignment="1">
      <alignment horizontal="center" vertical="center" wrapText="1"/>
    </xf>
    <xf numFmtId="0" fontId="6" fillId="49" borderId="22" xfId="0" applyFont="1" applyFill="1" applyBorder="1" applyAlignment="1">
      <alignment horizontal="center" vertical="center"/>
    </xf>
    <xf numFmtId="0" fontId="11" fillId="4" borderId="76" xfId="0" applyFont="1" applyFill="1" applyBorder="1" applyAlignment="1">
      <alignment horizontal="center" vertical="center" wrapText="1"/>
    </xf>
    <xf numFmtId="0" fontId="6" fillId="49" borderId="17" xfId="0" applyFont="1" applyFill="1" applyBorder="1" applyAlignment="1">
      <alignment horizontal="center" vertical="center"/>
    </xf>
    <xf numFmtId="0" fontId="11" fillId="4" borderId="21" xfId="0" applyFont="1" applyFill="1" applyBorder="1" applyAlignment="1">
      <alignment horizontal="center" vertical="center" wrapText="1"/>
    </xf>
    <xf numFmtId="0" fontId="11" fillId="4" borderId="77" xfId="0" applyFont="1" applyFill="1" applyBorder="1" applyAlignment="1">
      <alignment horizontal="center" vertical="center" wrapText="1"/>
    </xf>
    <xf numFmtId="0" fontId="6" fillId="49" borderId="37" xfId="0" applyFont="1" applyFill="1" applyBorder="1" applyAlignment="1">
      <alignment horizontal="center" vertical="center"/>
    </xf>
    <xf numFmtId="0" fontId="11" fillId="4" borderId="27"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6" fillId="49" borderId="26" xfId="0" applyFont="1" applyFill="1" applyBorder="1" applyAlignment="1">
      <alignment horizontal="center" vertical="center"/>
    </xf>
    <xf numFmtId="0" fontId="0" fillId="0" borderId="0" xfId="0" pivotButton="1">
      <alignment vertical="center"/>
    </xf>
    <xf numFmtId="182" fontId="0" fillId="0" borderId="5" xfId="0" applyNumberFormat="1" applyBorder="1">
      <alignment vertical="center"/>
    </xf>
    <xf numFmtId="0" fontId="92" fillId="0" borderId="0" xfId="6" applyFont="1" applyFill="1" applyBorder="1" applyAlignment="1">
      <alignment horizontal="center" vertical="center"/>
    </xf>
    <xf numFmtId="0" fontId="94" fillId="0" borderId="0" xfId="6" applyFont="1" applyFill="1" applyAlignment="1">
      <alignment horizontal="center" vertical="center"/>
    </xf>
    <xf numFmtId="10" fontId="92" fillId="0" borderId="0" xfId="6" applyNumberFormat="1" applyFont="1" applyFill="1" applyBorder="1" applyAlignment="1">
      <alignment horizontal="center" vertical="center"/>
    </xf>
    <xf numFmtId="10" fontId="6" fillId="49" borderId="5" xfId="0" applyNumberFormat="1" applyFont="1" applyFill="1" applyBorder="1" applyAlignment="1">
      <alignment horizontal="center" vertical="center"/>
    </xf>
    <xf numFmtId="10" fontId="94" fillId="0" borderId="0" xfId="6" applyNumberFormat="1" applyFont="1" applyFill="1" applyAlignment="1">
      <alignment horizontal="center" vertical="center"/>
    </xf>
    <xf numFmtId="182" fontId="91" fillId="0" borderId="5" xfId="0" applyNumberFormat="1" applyFont="1" applyBorder="1" applyAlignment="1">
      <alignment horizontal="center" vertical="center"/>
    </xf>
    <xf numFmtId="182" fontId="91" fillId="14" borderId="5" xfId="0" applyNumberFormat="1" applyFont="1" applyFill="1" applyBorder="1" applyAlignment="1">
      <alignment horizontal="center" vertical="center"/>
    </xf>
    <xf numFmtId="182" fontId="91" fillId="18" borderId="5" xfId="0" applyNumberFormat="1" applyFont="1" applyFill="1" applyBorder="1" applyAlignment="1">
      <alignment horizontal="center" vertical="center"/>
    </xf>
    <xf numFmtId="182" fontId="91" fillId="38" borderId="2" xfId="0" applyNumberFormat="1" applyFont="1" applyFill="1" applyBorder="1" applyAlignment="1">
      <alignment horizontal="center" vertical="center"/>
    </xf>
    <xf numFmtId="0" fontId="91" fillId="0" borderId="10" xfId="0" applyFont="1" applyBorder="1" applyAlignment="1">
      <alignment horizontal="center" vertical="center"/>
    </xf>
    <xf numFmtId="0" fontId="91" fillId="0" borderId="65" xfId="0" applyFont="1" applyBorder="1" applyAlignment="1">
      <alignment horizontal="center" vertical="center"/>
    </xf>
    <xf numFmtId="0" fontId="91" fillId="0" borderId="70" xfId="0" applyFont="1" applyBorder="1" applyAlignment="1">
      <alignment horizontal="center" vertical="center"/>
    </xf>
    <xf numFmtId="0" fontId="91" fillId="0" borderId="71" xfId="0" applyFont="1" applyBorder="1" applyAlignment="1">
      <alignment horizontal="center" vertical="center"/>
    </xf>
    <xf numFmtId="177" fontId="69" fillId="2" borderId="5" xfId="0" applyNumberFormat="1" applyFont="1" applyFill="1" applyBorder="1" applyAlignment="1">
      <alignment horizontal="center" vertical="center"/>
    </xf>
    <xf numFmtId="177" fontId="69" fillId="2" borderId="21" xfId="0" applyNumberFormat="1" applyFont="1" applyFill="1" applyBorder="1" applyAlignment="1">
      <alignment horizontal="center" vertical="center"/>
    </xf>
    <xf numFmtId="0" fontId="0" fillId="0" borderId="31" xfId="0" applyBorder="1" applyAlignment="1">
      <alignment horizontal="center" vertical="center"/>
    </xf>
    <xf numFmtId="41" fontId="69" fillId="2" borderId="22" xfId="0" applyNumberFormat="1" applyFont="1" applyFill="1" applyBorder="1" applyAlignment="1">
      <alignment horizontal="center" vertical="center"/>
    </xf>
    <xf numFmtId="177" fontId="69" fillId="2" borderId="22" xfId="0" applyNumberFormat="1" applyFont="1" applyFill="1" applyBorder="1" applyAlignment="1">
      <alignment horizontal="center" vertical="center"/>
    </xf>
    <xf numFmtId="177" fontId="69" fillId="0" borderId="0" xfId="0" applyNumberFormat="1" applyFont="1" applyFill="1" applyBorder="1" applyAlignment="1">
      <alignment horizontal="center" vertical="center"/>
    </xf>
    <xf numFmtId="0" fontId="0" fillId="0" borderId="73" xfId="0" applyNumberFormat="1" applyBorder="1" applyAlignment="1">
      <alignment horizontal="center" vertical="center"/>
    </xf>
    <xf numFmtId="0" fontId="4" fillId="0" borderId="5" xfId="0" applyFont="1" applyFill="1" applyBorder="1" applyAlignment="1">
      <alignment horizontal="left" vertical="top" wrapText="1"/>
    </xf>
    <xf numFmtId="0" fontId="91" fillId="43" borderId="5" xfId="0" applyNumberFormat="1" applyFont="1" applyFill="1" applyBorder="1" applyAlignment="1">
      <alignment horizontal="center" vertical="center"/>
    </xf>
    <xf numFmtId="0" fontId="6" fillId="36" borderId="5" xfId="0" applyFont="1" applyFill="1" applyBorder="1" applyAlignment="1">
      <alignment horizontal="left" vertical="center" wrapText="1" readingOrder="1"/>
    </xf>
    <xf numFmtId="0" fontId="6" fillId="0" borderId="5" xfId="0" applyFont="1" applyFill="1" applyBorder="1" applyAlignment="1">
      <alignment horizontal="left" vertical="center" wrapText="1" readingOrder="1"/>
    </xf>
    <xf numFmtId="0" fontId="6" fillId="0" borderId="5" xfId="0" applyFont="1" applyFill="1" applyBorder="1" applyAlignment="1">
      <alignment horizontal="left" vertical="center" wrapText="1"/>
    </xf>
    <xf numFmtId="0" fontId="90" fillId="0" borderId="5" xfId="0" applyFont="1" applyFill="1" applyBorder="1" applyAlignment="1">
      <alignment horizontal="center" vertical="center" wrapText="1" readingOrder="1"/>
    </xf>
    <xf numFmtId="0" fontId="6" fillId="0" borderId="5" xfId="0" applyFont="1" applyFill="1" applyBorder="1" applyAlignment="1">
      <alignment horizontal="left" vertical="center"/>
    </xf>
    <xf numFmtId="10" fontId="6" fillId="0" borderId="22" xfId="0" applyNumberFormat="1" applyFont="1" applyFill="1" applyBorder="1" applyAlignment="1">
      <alignment horizontal="center" vertical="center"/>
    </xf>
    <xf numFmtId="10" fontId="6" fillId="0" borderId="12" xfId="0" applyNumberFormat="1" applyFont="1" applyFill="1" applyBorder="1" applyAlignment="1">
      <alignment horizontal="center" vertical="center"/>
    </xf>
    <xf numFmtId="0" fontId="6" fillId="0" borderId="22" xfId="0" applyFont="1" applyFill="1" applyBorder="1" applyAlignment="1">
      <alignment horizontal="center" vertical="center"/>
    </xf>
    <xf numFmtId="201" fontId="68" fillId="0" borderId="23" xfId="0" applyNumberFormat="1" applyFont="1" applyFill="1" applyBorder="1" applyAlignment="1">
      <alignment horizontal="center" vertical="center"/>
    </xf>
    <xf numFmtId="201" fontId="68" fillId="0" borderId="27" xfId="0" applyNumberFormat="1" applyFont="1" applyFill="1" applyBorder="1" applyAlignment="1">
      <alignment horizontal="center" vertical="center"/>
    </xf>
    <xf numFmtId="201" fontId="68" fillId="0" borderId="22" xfId="0" applyNumberFormat="1" applyFont="1" applyFill="1" applyBorder="1" applyAlignment="1">
      <alignment horizontal="center" vertical="center"/>
    </xf>
    <xf numFmtId="201" fontId="68" fillId="0" borderId="12" xfId="0" applyNumberFormat="1" applyFont="1" applyFill="1" applyBorder="1" applyAlignment="1">
      <alignment horizontal="center" vertical="center"/>
    </xf>
    <xf numFmtId="0" fontId="0" fillId="8" borderId="22" xfId="0" applyNumberFormat="1" applyFont="1" applyFill="1" applyBorder="1" applyAlignment="1">
      <alignment horizontal="center" vertical="center"/>
    </xf>
    <xf numFmtId="0" fontId="0" fillId="8" borderId="12" xfId="0" applyNumberFormat="1" applyFont="1" applyFill="1" applyBorder="1" applyAlignment="1">
      <alignment horizontal="center" vertical="center"/>
    </xf>
    <xf numFmtId="10" fontId="6" fillId="0" borderId="26" xfId="0" applyNumberFormat="1" applyFont="1" applyFill="1" applyBorder="1" applyAlignment="1">
      <alignment horizontal="center" vertical="center"/>
    </xf>
    <xf numFmtId="0" fontId="4" fillId="0" borderId="12" xfId="4" applyNumberFormat="1" applyFont="1" applyFill="1" applyBorder="1" applyAlignment="1">
      <alignment horizontal="center" vertical="center"/>
    </xf>
    <xf numFmtId="0" fontId="4" fillId="0" borderId="65" xfId="4" applyNumberFormat="1" applyFont="1" applyFill="1" applyBorder="1" applyAlignment="1">
      <alignment horizontal="center" vertical="center"/>
    </xf>
    <xf numFmtId="0" fontId="4" fillId="0" borderId="2" xfId="4" applyNumberFormat="1" applyFont="1" applyFill="1" applyBorder="1" applyAlignment="1">
      <alignment horizontal="center" vertical="center"/>
    </xf>
    <xf numFmtId="0" fontId="4" fillId="0" borderId="4" xfId="4" applyNumberFormat="1" applyFont="1" applyFill="1" applyBorder="1" applyAlignment="1">
      <alignment horizontal="center" vertical="center"/>
    </xf>
    <xf numFmtId="0" fontId="4" fillId="0" borderId="71" xfId="4" applyNumberFormat="1" applyFont="1" applyFill="1" applyBorder="1" applyAlignment="1">
      <alignment horizontal="center" vertical="center"/>
    </xf>
    <xf numFmtId="0" fontId="6" fillId="0" borderId="12" xfId="0" applyFont="1" applyFill="1" applyBorder="1" applyAlignment="1">
      <alignment vertical="center"/>
    </xf>
    <xf numFmtId="0" fontId="6" fillId="0" borderId="26" xfId="0" applyFont="1" applyFill="1" applyBorder="1" applyAlignment="1">
      <alignment horizontal="center" vertical="center"/>
    </xf>
    <xf numFmtId="0" fontId="0" fillId="14" borderId="12" xfId="0" applyNumberFormat="1" applyFont="1" applyFill="1" applyBorder="1" applyAlignment="1">
      <alignment horizontal="center" vertical="center"/>
    </xf>
    <xf numFmtId="0" fontId="28" fillId="18" borderId="32" xfId="0" applyNumberFormat="1" applyFont="1" applyFill="1" applyBorder="1" applyAlignment="1">
      <alignment horizontal="center" vertical="center"/>
    </xf>
    <xf numFmtId="0" fontId="0" fillId="14" borderId="22" xfId="0" applyNumberFormat="1" applyFont="1" applyFill="1" applyBorder="1" applyAlignment="1">
      <alignment horizontal="center" vertical="center"/>
    </xf>
    <xf numFmtId="0" fontId="4" fillId="0" borderId="22" xfId="4" applyNumberFormat="1" applyFont="1" applyFill="1" applyBorder="1" applyAlignment="1">
      <alignment horizontal="center" vertical="center"/>
    </xf>
    <xf numFmtId="0" fontId="6" fillId="0" borderId="70" xfId="0" applyFont="1" applyFill="1" applyBorder="1" applyAlignment="1">
      <alignment horizontal="center" vertical="center"/>
    </xf>
    <xf numFmtId="0" fontId="4" fillId="0" borderId="10" xfId="4" applyNumberFormat="1" applyFont="1" applyFill="1" applyBorder="1" applyAlignment="1">
      <alignment horizontal="center" vertical="center"/>
    </xf>
    <xf numFmtId="0" fontId="0" fillId="43" borderId="32" xfId="0" applyNumberFormat="1" applyFill="1" applyBorder="1" applyAlignment="1">
      <alignment horizontal="center" vertical="center"/>
    </xf>
    <xf numFmtId="0" fontId="0" fillId="0" borderId="32" xfId="0" applyNumberFormat="1" applyBorder="1" applyAlignment="1">
      <alignment horizontal="center" vertical="center"/>
    </xf>
    <xf numFmtId="0" fontId="0" fillId="0" borderId="4" xfId="0" applyNumberFormat="1" applyBorder="1" applyAlignment="1">
      <alignment horizontal="center" vertical="center"/>
    </xf>
    <xf numFmtId="0" fontId="4" fillId="0" borderId="32" xfId="4" applyNumberFormat="1" applyFont="1" applyFill="1" applyBorder="1" applyAlignment="1">
      <alignment horizontal="center" vertical="center"/>
    </xf>
    <xf numFmtId="0" fontId="6" fillId="0" borderId="32" xfId="0" applyFont="1" applyFill="1" applyBorder="1" applyAlignment="1">
      <alignment horizontal="left" vertical="center" wrapText="1"/>
    </xf>
    <xf numFmtId="0" fontId="91" fillId="43" borderId="32" xfId="0" applyFont="1" applyFill="1" applyBorder="1" applyAlignment="1">
      <alignment horizontal="center" vertical="center"/>
    </xf>
    <xf numFmtId="0" fontId="91" fillId="45" borderId="32" xfId="0" applyFont="1" applyFill="1" applyBorder="1" applyAlignment="1">
      <alignment horizontal="center" vertical="center"/>
    </xf>
    <xf numFmtId="0" fontId="91" fillId="14" borderId="32" xfId="0" applyFont="1" applyFill="1" applyBorder="1" applyAlignment="1">
      <alignment horizontal="center" vertical="center"/>
    </xf>
    <xf numFmtId="0" fontId="91" fillId="18" borderId="32" xfId="0" applyFont="1" applyFill="1" applyBorder="1" applyAlignment="1">
      <alignment horizontal="center" vertical="center"/>
    </xf>
    <xf numFmtId="0" fontId="91" fillId="38" borderId="4" xfId="0" applyFont="1" applyFill="1" applyBorder="1" applyAlignment="1">
      <alignment horizontal="center" vertical="center"/>
    </xf>
    <xf numFmtId="0" fontId="91" fillId="43" borderId="32" xfId="0" applyNumberFormat="1" applyFont="1" applyFill="1" applyBorder="1" applyAlignment="1">
      <alignment horizontal="center" vertical="center"/>
    </xf>
    <xf numFmtId="0" fontId="91" fillId="0" borderId="32" xfId="0" applyFont="1" applyBorder="1" applyAlignment="1">
      <alignment horizontal="center" vertical="center"/>
    </xf>
    <xf numFmtId="0" fontId="91" fillId="0" borderId="4" xfId="0" applyFont="1" applyBorder="1" applyAlignment="1">
      <alignment horizontal="center" vertical="center"/>
    </xf>
    <xf numFmtId="0" fontId="4" fillId="0" borderId="70" xfId="4" applyNumberFormat="1" applyFont="1" applyFill="1" applyBorder="1" applyAlignment="1">
      <alignment horizontal="center" vertical="center"/>
    </xf>
    <xf numFmtId="0" fontId="7" fillId="2" borderId="66" xfId="0" applyFont="1" applyFill="1" applyBorder="1" applyAlignment="1">
      <alignment horizontal="center" vertical="center"/>
    </xf>
    <xf numFmtId="0" fontId="7" fillId="2" borderId="68" xfId="0" applyFont="1" applyFill="1" applyBorder="1" applyAlignment="1">
      <alignment horizontal="center" vertical="center"/>
    </xf>
    <xf numFmtId="0" fontId="5" fillId="0" borderId="9" xfId="0" applyFont="1" applyBorder="1" applyAlignment="1">
      <alignment horizontal="center" vertical="center"/>
    </xf>
    <xf numFmtId="0" fontId="10" fillId="0" borderId="65" xfId="2" applyFont="1" applyBorder="1">
      <alignment vertical="center"/>
    </xf>
    <xf numFmtId="0" fontId="6" fillId="0" borderId="5" xfId="0" applyFont="1" applyFill="1" applyBorder="1" applyAlignment="1">
      <alignment horizontal="left" vertical="center"/>
    </xf>
    <xf numFmtId="0" fontId="0" fillId="0" borderId="7" xfId="0" applyBorder="1" applyAlignment="1">
      <alignment vertical="center" wrapText="1"/>
    </xf>
    <xf numFmtId="0" fontId="25" fillId="43" borderId="5" xfId="0" applyFont="1" applyFill="1" applyBorder="1" applyAlignment="1">
      <alignment horizontal="center" vertical="center" wrapText="1"/>
    </xf>
    <xf numFmtId="0" fontId="6" fillId="43" borderId="5" xfId="0" applyFont="1" applyFill="1" applyBorder="1" applyAlignment="1">
      <alignment horizontal="left" vertical="center" wrapText="1"/>
    </xf>
    <xf numFmtId="0" fontId="4" fillId="0" borderId="27" xfId="4" applyNumberFormat="1" applyFont="1" applyFill="1" applyBorder="1" applyAlignment="1">
      <alignment horizontal="center" vertical="center"/>
    </xf>
    <xf numFmtId="0" fontId="4" fillId="0" borderId="7" xfId="4" applyNumberFormat="1" applyFont="1" applyFill="1" applyBorder="1" applyAlignment="1">
      <alignment horizontal="center" vertical="center"/>
    </xf>
    <xf numFmtId="177" fontId="0" fillId="0" borderId="35" xfId="0" applyNumberFormat="1" applyFill="1" applyBorder="1" applyAlignment="1">
      <alignment horizontal="center" vertical="center"/>
    </xf>
    <xf numFmtId="0" fontId="0" fillId="0" borderId="7" xfId="0" applyFill="1" applyBorder="1" applyAlignment="1">
      <alignment horizontal="center" vertical="center"/>
    </xf>
    <xf numFmtId="0" fontId="0" fillId="0" borderId="29" xfId="0" applyFill="1" applyBorder="1" applyAlignment="1">
      <alignment horizontal="center" vertical="center"/>
    </xf>
    <xf numFmtId="0" fontId="4" fillId="0" borderId="29" xfId="4" applyNumberFormat="1" applyFont="1" applyFill="1" applyBorder="1" applyAlignment="1">
      <alignment horizontal="center" vertical="center"/>
    </xf>
    <xf numFmtId="0" fontId="25" fillId="38" borderId="22" xfId="0" applyFont="1" applyFill="1" applyBorder="1" applyAlignment="1">
      <alignment horizontal="left" vertical="center"/>
    </xf>
    <xf numFmtId="0" fontId="25" fillId="38" borderId="12" xfId="0" applyFont="1" applyFill="1" applyBorder="1" applyAlignment="1">
      <alignment horizontal="left" vertical="center"/>
    </xf>
    <xf numFmtId="0" fontId="25" fillId="38" borderId="22" xfId="0" applyFont="1" applyFill="1" applyBorder="1" applyAlignment="1">
      <alignment horizontal="center" vertical="center" wrapText="1"/>
    </xf>
    <xf numFmtId="0" fontId="25" fillId="38" borderId="26" xfId="0" applyFont="1" applyFill="1" applyBorder="1" applyAlignment="1">
      <alignment horizontal="center" vertical="center" wrapText="1"/>
    </xf>
    <xf numFmtId="0" fontId="25" fillId="38" borderId="12" xfId="0" applyFont="1" applyFill="1" applyBorder="1" applyAlignment="1">
      <alignment horizontal="center" vertical="center" wrapText="1"/>
    </xf>
    <xf numFmtId="0" fontId="8" fillId="8" borderId="21" xfId="0" applyFont="1" applyFill="1" applyBorder="1" applyAlignment="1">
      <alignment horizontal="center" vertical="center" wrapText="1"/>
    </xf>
    <xf numFmtId="0" fontId="8" fillId="8" borderId="31" xfId="0" applyFont="1" applyFill="1" applyBorder="1" applyAlignment="1">
      <alignment horizontal="center" vertical="center" wrapText="1"/>
    </xf>
    <xf numFmtId="0" fontId="25" fillId="18" borderId="22" xfId="0" applyFont="1" applyFill="1" applyBorder="1" applyAlignment="1">
      <alignment horizontal="center" vertical="center" wrapText="1"/>
    </xf>
    <xf numFmtId="0" fontId="25" fillId="18" borderId="26" xfId="0" applyFont="1" applyFill="1" applyBorder="1" applyAlignment="1">
      <alignment horizontal="center" vertical="center" wrapText="1"/>
    </xf>
    <xf numFmtId="0" fontId="25" fillId="18" borderId="22" xfId="0" applyFont="1" applyFill="1" applyBorder="1" applyAlignment="1">
      <alignment horizontal="left" vertical="center" wrapText="1"/>
    </xf>
    <xf numFmtId="0" fontId="25" fillId="18" borderId="12" xfId="0" applyFont="1" applyFill="1" applyBorder="1" applyAlignment="1">
      <alignment horizontal="left" vertical="center" wrapText="1"/>
    </xf>
    <xf numFmtId="0" fontId="25" fillId="18" borderId="22" xfId="0" applyFont="1" applyFill="1" applyBorder="1" applyAlignment="1">
      <alignment vertical="center" wrapText="1"/>
    </xf>
    <xf numFmtId="0" fontId="25" fillId="18" borderId="12" xfId="0" applyFont="1" applyFill="1" applyBorder="1" applyAlignment="1">
      <alignment vertical="center" wrapText="1"/>
    </xf>
    <xf numFmtId="0" fontId="6" fillId="43" borderId="22" xfId="0" applyFont="1" applyFill="1" applyBorder="1" applyAlignment="1">
      <alignment horizontal="left" vertical="center" wrapText="1"/>
    </xf>
    <xf numFmtId="0" fontId="6" fillId="43" borderId="12" xfId="0" applyFont="1" applyFill="1" applyBorder="1" applyAlignment="1">
      <alignment horizontal="left" vertical="center" wrapText="1"/>
    </xf>
    <xf numFmtId="0" fontId="25" fillId="14" borderId="28" xfId="0" applyFont="1" applyFill="1" applyBorder="1" applyAlignment="1">
      <alignment horizontal="center" vertical="center" wrapText="1"/>
    </xf>
    <xf numFmtId="0" fontId="25" fillId="14" borderId="44" xfId="0" applyFont="1" applyFill="1" applyBorder="1" applyAlignment="1">
      <alignment horizontal="center" vertical="center" wrapText="1"/>
    </xf>
    <xf numFmtId="0" fontId="25" fillId="14" borderId="29" xfId="0" applyFont="1" applyFill="1" applyBorder="1" applyAlignment="1">
      <alignment horizontal="center" vertical="center" wrapText="1"/>
    </xf>
    <xf numFmtId="0" fontId="25" fillId="14" borderId="22" xfId="0" applyFont="1" applyFill="1" applyBorder="1" applyAlignment="1">
      <alignment horizontal="left" vertical="center" wrapText="1"/>
    </xf>
    <xf numFmtId="0" fontId="25" fillId="14" borderId="12" xfId="0" applyFont="1" applyFill="1" applyBorder="1" applyAlignment="1">
      <alignment horizontal="left"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90" fillId="0" borderId="5" xfId="0" applyFont="1" applyFill="1" applyBorder="1" applyAlignment="1">
      <alignment horizontal="center" vertical="center" wrapText="1" readingOrder="1"/>
    </xf>
    <xf numFmtId="0" fontId="6" fillId="0" borderId="9" xfId="0" applyFont="1" applyFill="1" applyBorder="1" applyAlignment="1">
      <alignment horizontal="center" vertical="center" wrapText="1" readingOrder="1"/>
    </xf>
    <xf numFmtId="0" fontId="6" fillId="0" borderId="1" xfId="0" applyFont="1" applyFill="1" applyBorder="1" applyAlignment="1">
      <alignment horizontal="center" vertical="center" wrapText="1" readingOrder="1"/>
    </xf>
    <xf numFmtId="0" fontId="6" fillId="0" borderId="3" xfId="0" applyFont="1" applyFill="1" applyBorder="1" applyAlignment="1">
      <alignment horizontal="center" vertical="center" wrapText="1" readingOrder="1"/>
    </xf>
    <xf numFmtId="0" fontId="6" fillId="0" borderId="5" xfId="0" applyFont="1" applyFill="1" applyBorder="1" applyAlignment="1">
      <alignment horizontal="left" vertical="center" wrapText="1"/>
    </xf>
    <xf numFmtId="0" fontId="6" fillId="0" borderId="5" xfId="0" applyFont="1" applyFill="1" applyBorder="1" applyAlignment="1">
      <alignment horizontal="left" vertical="center"/>
    </xf>
    <xf numFmtId="0" fontId="6" fillId="36" borderId="5" xfId="0" applyFont="1" applyFill="1" applyBorder="1" applyAlignment="1">
      <alignment horizontal="left" vertical="center" wrapText="1" readingOrder="1"/>
    </xf>
    <xf numFmtId="0" fontId="6" fillId="0" borderId="5" xfId="0" applyFont="1" applyFill="1" applyBorder="1" applyAlignment="1">
      <alignment horizontal="left" vertical="center" wrapText="1" readingOrder="1"/>
    </xf>
    <xf numFmtId="0" fontId="6" fillId="36" borderId="5" xfId="0" applyFont="1" applyFill="1" applyBorder="1" applyAlignment="1">
      <alignment horizontal="left" vertical="center" wrapText="1"/>
    </xf>
    <xf numFmtId="0" fontId="7" fillId="2" borderId="30" xfId="0" applyFont="1" applyFill="1" applyBorder="1" applyAlignment="1">
      <alignment horizontal="center" vertical="center"/>
    </xf>
    <xf numFmtId="0" fontId="7" fillId="2" borderId="44" xfId="0" applyFont="1" applyFill="1" applyBorder="1" applyAlignment="1">
      <alignment horizontal="center" vertical="center"/>
    </xf>
    <xf numFmtId="0" fontId="4" fillId="36" borderId="76" xfId="4" applyNumberFormat="1" applyFont="1" applyFill="1" applyBorder="1" applyAlignment="1">
      <alignment horizontal="center" vertical="center"/>
    </xf>
    <xf numFmtId="0" fontId="4" fillId="36" borderId="16" xfId="4" applyNumberFormat="1" applyFont="1" applyFill="1" applyBorder="1" applyAlignment="1">
      <alignment horizontal="center" vertical="center"/>
    </xf>
    <xf numFmtId="0" fontId="4" fillId="36" borderId="21" xfId="4" applyNumberFormat="1" applyFont="1" applyFill="1" applyBorder="1" applyAlignment="1">
      <alignment horizontal="center" vertical="center"/>
    </xf>
    <xf numFmtId="0" fontId="4" fillId="36" borderId="80" xfId="4" applyNumberFormat="1" applyFont="1" applyFill="1" applyBorder="1" applyAlignment="1">
      <alignment horizontal="center" vertical="center"/>
    </xf>
    <xf numFmtId="0" fontId="91" fillId="43" borderId="5" xfId="0" applyNumberFormat="1" applyFont="1" applyFill="1" applyBorder="1" applyAlignment="1">
      <alignment horizontal="center" vertical="center"/>
    </xf>
    <xf numFmtId="0" fontId="4" fillId="0" borderId="21" xfId="4" applyNumberFormat="1" applyFont="1" applyFill="1" applyBorder="1" applyAlignment="1">
      <alignment horizontal="center" vertical="center"/>
    </xf>
    <xf numFmtId="0" fontId="4" fillId="0" borderId="80" xfId="4" applyNumberFormat="1" applyFont="1" applyFill="1" applyBorder="1" applyAlignment="1">
      <alignment horizontal="center" vertical="center"/>
    </xf>
    <xf numFmtId="0" fontId="6" fillId="0" borderId="22" xfId="0" applyFont="1" applyFill="1" applyBorder="1" applyAlignment="1">
      <alignment horizontal="left" vertical="center"/>
    </xf>
    <xf numFmtId="0" fontId="6" fillId="0" borderId="12" xfId="0" applyFont="1" applyFill="1" applyBorder="1" applyAlignment="1">
      <alignment horizontal="left" vertical="center"/>
    </xf>
    <xf numFmtId="0" fontId="6" fillId="0" borderId="20" xfId="0" applyFont="1" applyFill="1" applyBorder="1" applyAlignment="1">
      <alignment horizontal="center" vertical="center" wrapText="1"/>
    </xf>
    <xf numFmtId="0" fontId="6" fillId="0" borderId="66" xfId="0" applyFont="1" applyFill="1" applyBorder="1" applyAlignment="1">
      <alignment horizontal="center" vertical="center" wrapText="1"/>
    </xf>
    <xf numFmtId="0" fontId="6" fillId="0" borderId="67" xfId="0" applyFont="1" applyFill="1" applyBorder="1" applyAlignment="1">
      <alignment horizontal="center" vertical="center" wrapText="1"/>
    </xf>
    <xf numFmtId="0" fontId="6" fillId="0" borderId="72" xfId="0" applyFont="1" applyFill="1" applyBorder="1" applyAlignment="1">
      <alignment horizontal="center" vertical="center" wrapText="1"/>
    </xf>
    <xf numFmtId="0" fontId="6" fillId="0" borderId="73" xfId="0" applyFont="1" applyFill="1" applyBorder="1" applyAlignment="1">
      <alignment horizontal="center" vertical="center" wrapText="1"/>
    </xf>
    <xf numFmtId="201" fontId="68" fillId="0" borderId="17" xfId="0" applyNumberFormat="1" applyFont="1" applyFill="1" applyBorder="1" applyAlignment="1">
      <alignment horizontal="center" vertical="center"/>
    </xf>
    <xf numFmtId="201" fontId="68" fillId="0" borderId="12" xfId="0" applyNumberFormat="1" applyFont="1" applyFill="1" applyBorder="1" applyAlignment="1">
      <alignment horizontal="center" vertical="center"/>
    </xf>
    <xf numFmtId="201" fontId="68" fillId="0" borderId="22" xfId="0" applyNumberFormat="1" applyFont="1" applyFill="1" applyBorder="1" applyAlignment="1">
      <alignment horizontal="center" vertical="center"/>
    </xf>
    <xf numFmtId="0" fontId="6" fillId="0" borderId="11" xfId="0" applyFont="1" applyBorder="1" applyAlignment="1">
      <alignment horizontal="center" vertical="center" wrapText="1"/>
    </xf>
    <xf numFmtId="0" fontId="6" fillId="0" borderId="75" xfId="0" applyFont="1" applyBorder="1" applyAlignment="1">
      <alignment horizontal="center" vertical="center" wrapText="1"/>
    </xf>
    <xf numFmtId="0" fontId="91" fillId="41" borderId="22" xfId="0" applyNumberFormat="1" applyFont="1" applyFill="1" applyBorder="1" applyAlignment="1">
      <alignment horizontal="center" vertical="center"/>
    </xf>
    <xf numFmtId="0" fontId="91" fillId="41" borderId="12" xfId="0" applyNumberFormat="1" applyFont="1" applyFill="1" applyBorder="1" applyAlignment="1">
      <alignment horizontal="center" vertical="center"/>
    </xf>
    <xf numFmtId="0" fontId="6" fillId="0" borderId="22" xfId="0" applyFont="1" applyFill="1" applyBorder="1" applyAlignment="1">
      <alignment horizontal="center" vertical="center"/>
    </xf>
    <xf numFmtId="0" fontId="6" fillId="0" borderId="12" xfId="0" applyFont="1" applyFill="1" applyBorder="1" applyAlignment="1">
      <alignment horizontal="center" vertical="center"/>
    </xf>
    <xf numFmtId="10" fontId="6" fillId="0" borderId="26" xfId="0" applyNumberFormat="1" applyFont="1" applyFill="1" applyBorder="1" applyAlignment="1">
      <alignment horizontal="center" vertical="center"/>
    </xf>
    <xf numFmtId="10" fontId="6" fillId="0" borderId="12" xfId="0" applyNumberFormat="1" applyFont="1" applyFill="1" applyBorder="1" applyAlignment="1">
      <alignment horizontal="center" vertical="center"/>
    </xf>
    <xf numFmtId="0" fontId="25" fillId="0" borderId="20" xfId="0" applyFont="1" applyFill="1" applyBorder="1" applyAlignment="1">
      <alignment horizontal="center" vertical="center" wrapText="1"/>
    </xf>
    <xf numFmtId="0" fontId="25" fillId="0" borderId="66" xfId="0" applyFont="1" applyFill="1" applyBorder="1" applyAlignment="1">
      <alignment horizontal="center" vertical="center" wrapText="1"/>
    </xf>
    <xf numFmtId="0" fontId="25" fillId="0" borderId="67" xfId="0" applyFont="1" applyFill="1" applyBorder="1" applyAlignment="1">
      <alignment horizontal="center" vertical="center" wrapText="1"/>
    </xf>
    <xf numFmtId="0" fontId="0" fillId="10" borderId="25" xfId="0" applyNumberFormat="1" applyFont="1" applyFill="1" applyBorder="1" applyAlignment="1">
      <alignment horizontal="center" vertical="center"/>
    </xf>
    <xf numFmtId="0" fontId="0" fillId="10" borderId="27" xfId="0" applyNumberFormat="1" applyFont="1" applyFill="1" applyBorder="1" applyAlignment="1">
      <alignment horizontal="center" vertical="center"/>
    </xf>
    <xf numFmtId="0" fontId="0" fillId="10" borderId="23" xfId="0" applyNumberFormat="1" applyFont="1" applyFill="1" applyBorder="1" applyAlignment="1">
      <alignment horizontal="center" vertical="center"/>
    </xf>
    <xf numFmtId="0" fontId="90" fillId="0" borderId="17" xfId="0" applyFont="1" applyBorder="1" applyAlignment="1">
      <alignment horizontal="center" vertical="center" wrapText="1" readingOrder="1"/>
    </xf>
    <xf numFmtId="0" fontId="90" fillId="0" borderId="12" xfId="0" applyFont="1" applyBorder="1" applyAlignment="1">
      <alignment horizontal="center" vertical="center" wrapText="1" readingOrder="1"/>
    </xf>
    <xf numFmtId="0" fontId="90" fillId="0" borderId="22" xfId="0" applyFont="1" applyBorder="1" applyAlignment="1">
      <alignment horizontal="center" vertical="center" wrapText="1" readingOrder="1"/>
    </xf>
    <xf numFmtId="10" fontId="6" fillId="0" borderId="17" xfId="0" applyNumberFormat="1" applyFont="1" applyBorder="1" applyAlignment="1">
      <alignment horizontal="center" vertical="center"/>
    </xf>
    <xf numFmtId="10" fontId="6" fillId="0" borderId="12" xfId="0" applyNumberFormat="1" applyFont="1" applyBorder="1" applyAlignment="1">
      <alignment horizontal="center" vertical="center"/>
    </xf>
    <xf numFmtId="10" fontId="6" fillId="0" borderId="22" xfId="0" applyNumberFormat="1" applyFont="1" applyBorder="1" applyAlignment="1">
      <alignment horizontal="center" vertical="center"/>
    </xf>
    <xf numFmtId="0" fontId="0" fillId="41" borderId="22" xfId="0" applyNumberFormat="1" applyFont="1" applyFill="1" applyBorder="1" applyAlignment="1">
      <alignment horizontal="center" vertical="center"/>
    </xf>
    <xf numFmtId="0" fontId="0" fillId="41" borderId="12" xfId="0" applyNumberFormat="1" applyFont="1" applyFill="1" applyBorder="1" applyAlignment="1">
      <alignment horizontal="center" vertical="center"/>
    </xf>
    <xf numFmtId="201" fontId="68" fillId="0" borderId="23" xfId="0" applyNumberFormat="1" applyFont="1" applyFill="1" applyBorder="1" applyAlignment="1">
      <alignment horizontal="center" vertical="center"/>
    </xf>
    <xf numFmtId="201" fontId="68" fillId="0" borderId="27" xfId="0" applyNumberFormat="1" applyFont="1" applyFill="1" applyBorder="1" applyAlignment="1">
      <alignment horizontal="center" vertical="center"/>
    </xf>
    <xf numFmtId="0" fontId="0" fillId="8" borderId="22" xfId="0" applyNumberFormat="1" applyFont="1" applyFill="1" applyBorder="1" applyAlignment="1">
      <alignment horizontal="center" vertical="center"/>
    </xf>
    <xf numFmtId="0" fontId="0" fillId="8" borderId="12" xfId="0" applyNumberFormat="1" applyFont="1" applyFill="1" applyBorder="1" applyAlignment="1">
      <alignment horizontal="center" vertical="center"/>
    </xf>
    <xf numFmtId="10" fontId="6" fillId="0" borderId="22" xfId="0" applyNumberFormat="1" applyFont="1" applyFill="1" applyBorder="1" applyAlignment="1">
      <alignment horizontal="center" vertical="center"/>
    </xf>
    <xf numFmtId="41" fontId="69" fillId="2" borderId="21" xfId="0" applyNumberFormat="1" applyFont="1" applyFill="1" applyBorder="1" applyAlignment="1">
      <alignment horizontal="center" vertical="center"/>
    </xf>
    <xf numFmtId="41" fontId="69" fillId="2" borderId="31" xfId="0" applyNumberFormat="1" applyFont="1" applyFill="1" applyBorder="1" applyAlignment="1">
      <alignment horizontal="center" vertical="center"/>
    </xf>
    <xf numFmtId="41" fontId="69" fillId="2" borderId="27" xfId="0" applyNumberFormat="1" applyFont="1" applyFill="1" applyBorder="1" applyAlignment="1">
      <alignment horizontal="center" vertical="center"/>
    </xf>
    <xf numFmtId="41" fontId="69" fillId="2" borderId="29" xfId="0" applyNumberFormat="1" applyFont="1" applyFill="1" applyBorder="1" applyAlignment="1">
      <alignment horizontal="center" vertical="center"/>
    </xf>
    <xf numFmtId="0" fontId="34" fillId="0" borderId="14" xfId="0" applyFont="1" applyFill="1" applyBorder="1" applyAlignment="1">
      <alignment horizontal="center" vertical="center"/>
    </xf>
    <xf numFmtId="0" fontId="34" fillId="0" borderId="16" xfId="0" applyFont="1" applyFill="1" applyBorder="1" applyAlignment="1">
      <alignment horizontal="center" vertical="center"/>
    </xf>
    <xf numFmtId="0" fontId="7" fillId="29" borderId="5" xfId="0" applyFont="1" applyFill="1" applyBorder="1" applyAlignment="1">
      <alignment horizontal="center" vertical="center"/>
    </xf>
    <xf numFmtId="0" fontId="7" fillId="27" borderId="5" xfId="0" applyFont="1" applyFill="1" applyBorder="1" applyAlignment="1">
      <alignment horizontal="center" vertical="center"/>
    </xf>
    <xf numFmtId="0" fontId="7" fillId="26" borderId="21" xfId="0" applyFont="1" applyFill="1" applyBorder="1" applyAlignment="1">
      <alignment horizontal="center" vertical="center"/>
    </xf>
    <xf numFmtId="0" fontId="7" fillId="26" borderId="31" xfId="0" applyFont="1" applyFill="1" applyBorder="1" applyAlignment="1">
      <alignment horizontal="center" vertical="center"/>
    </xf>
    <xf numFmtId="0" fontId="7" fillId="26" borderId="5" xfId="0" applyFont="1" applyFill="1" applyBorder="1" applyAlignment="1">
      <alignment horizontal="center" vertical="center"/>
    </xf>
    <xf numFmtId="0" fontId="7" fillId="28" borderId="46" xfId="0" applyFont="1" applyFill="1" applyBorder="1" applyAlignment="1">
      <alignment horizontal="center" vertical="center"/>
    </xf>
    <xf numFmtId="0" fontId="76" fillId="30" borderId="5" xfId="0" applyFont="1" applyFill="1" applyBorder="1" applyAlignment="1">
      <alignment horizontal="center" vertical="center"/>
    </xf>
    <xf numFmtId="0" fontId="7" fillId="26" borderId="26" xfId="0" applyFont="1" applyFill="1" applyBorder="1" applyAlignment="1">
      <alignment horizontal="center" vertical="center"/>
    </xf>
    <xf numFmtId="0" fontId="7" fillId="26" borderId="12" xfId="0" applyFont="1" applyFill="1" applyBorder="1" applyAlignment="1">
      <alignment horizontal="center" vertical="center"/>
    </xf>
    <xf numFmtId="0" fontId="7" fillId="28" borderId="46" xfId="0" applyFont="1" applyFill="1" applyBorder="1" applyAlignment="1">
      <alignment horizontal="center" vertical="center" wrapText="1"/>
    </xf>
    <xf numFmtId="0" fontId="7" fillId="28" borderId="64" xfId="0" applyFont="1" applyFill="1" applyBorder="1" applyAlignment="1">
      <alignment horizontal="center" vertical="center"/>
    </xf>
    <xf numFmtId="0" fontId="7" fillId="27" borderId="64" xfId="0" applyFont="1" applyFill="1" applyBorder="1" applyAlignment="1">
      <alignment horizontal="center" vertical="center"/>
    </xf>
    <xf numFmtId="0" fontId="7" fillId="27" borderId="46" xfId="0" applyFont="1" applyFill="1" applyBorder="1" applyAlignment="1">
      <alignment horizontal="center" vertical="center"/>
    </xf>
    <xf numFmtId="0" fontId="7" fillId="28" borderId="45" xfId="0" applyFont="1" applyFill="1" applyBorder="1" applyAlignment="1">
      <alignment horizontal="center" vertical="center"/>
    </xf>
    <xf numFmtId="0" fontId="0" fillId="8" borderId="21" xfId="0" applyFill="1" applyBorder="1" applyAlignment="1">
      <alignment horizontal="left" vertical="center"/>
    </xf>
    <xf numFmtId="0" fontId="0" fillId="8" borderId="31" xfId="0" applyFill="1" applyBorder="1" applyAlignment="1">
      <alignment horizontal="left" vertical="center"/>
    </xf>
    <xf numFmtId="0" fontId="0" fillId="8" borderId="5" xfId="0" applyFill="1" applyBorder="1" applyAlignment="1">
      <alignment horizontal="left" vertical="center"/>
    </xf>
    <xf numFmtId="0" fontId="7" fillId="28" borderId="5" xfId="0" applyFont="1" applyFill="1" applyBorder="1" applyAlignment="1">
      <alignment horizontal="center" vertical="center" wrapText="1"/>
    </xf>
    <xf numFmtId="43" fontId="4" fillId="0" borderId="22" xfId="4" applyFont="1" applyFill="1" applyBorder="1" applyAlignment="1">
      <alignment horizontal="center" vertical="top"/>
    </xf>
    <xf numFmtId="43" fontId="4" fillId="0" borderId="26" xfId="4" applyFont="1" applyFill="1" applyBorder="1" applyAlignment="1">
      <alignment horizontal="center" vertical="top"/>
    </xf>
    <xf numFmtId="43" fontId="4" fillId="0" borderId="12" xfId="4" applyFont="1" applyFill="1" applyBorder="1" applyAlignment="1">
      <alignment horizontal="center" vertical="top"/>
    </xf>
    <xf numFmtId="43" fontId="4" fillId="0" borderId="22" xfId="4" applyFont="1" applyBorder="1" applyAlignment="1">
      <alignment horizontal="center" vertical="top"/>
    </xf>
    <xf numFmtId="43" fontId="4" fillId="0" borderId="26" xfId="4" applyFont="1" applyBorder="1" applyAlignment="1">
      <alignment horizontal="center" vertical="top"/>
    </xf>
    <xf numFmtId="43" fontId="4" fillId="0" borderId="12" xfId="4" applyFont="1" applyBorder="1" applyAlignment="1">
      <alignment horizontal="center" vertical="top"/>
    </xf>
    <xf numFmtId="192" fontId="4" fillId="0" borderId="22" xfId="4" applyNumberFormat="1" applyFont="1" applyBorder="1" applyAlignment="1">
      <alignment horizontal="center" vertical="top"/>
    </xf>
    <xf numFmtId="192" fontId="4" fillId="0" borderId="26" xfId="4" applyNumberFormat="1" applyFont="1" applyBorder="1" applyAlignment="1">
      <alignment horizontal="center" vertical="top"/>
    </xf>
    <xf numFmtId="192" fontId="4" fillId="0" borderId="12" xfId="4" applyNumberFormat="1" applyFont="1" applyBorder="1" applyAlignment="1">
      <alignment horizontal="center" vertical="top"/>
    </xf>
    <xf numFmtId="183" fontId="4" fillId="0" borderId="22" xfId="4" applyNumberFormat="1" applyFont="1" applyBorder="1" applyAlignment="1">
      <alignment horizontal="center" vertical="top"/>
    </xf>
    <xf numFmtId="183" fontId="4" fillId="0" borderId="26" xfId="4" applyNumberFormat="1" applyFont="1" applyBorder="1" applyAlignment="1">
      <alignment horizontal="center" vertical="top"/>
    </xf>
    <xf numFmtId="183" fontId="4" fillId="0" borderId="12" xfId="4" applyNumberFormat="1" applyFont="1" applyBorder="1" applyAlignment="1">
      <alignment horizontal="center" vertical="top"/>
    </xf>
    <xf numFmtId="0" fontId="4" fillId="0" borderId="5" xfId="0" applyFont="1" applyFill="1" applyBorder="1" applyAlignment="1">
      <alignment horizontal="center" vertical="top"/>
    </xf>
    <xf numFmtId="0" fontId="4" fillId="6"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12" xfId="0" applyFont="1" applyFill="1" applyBorder="1" applyAlignment="1">
      <alignment horizontal="center" vertical="center" wrapText="1"/>
    </xf>
    <xf numFmtId="43" fontId="4" fillId="0" borderId="22" xfId="4" applyNumberFormat="1" applyFont="1" applyFill="1" applyBorder="1" applyAlignment="1">
      <alignment horizontal="center" vertical="top"/>
    </xf>
    <xf numFmtId="43" fontId="4" fillId="0" borderId="26" xfId="4" applyNumberFormat="1" applyFont="1" applyFill="1" applyBorder="1" applyAlignment="1">
      <alignment horizontal="center" vertical="top"/>
    </xf>
    <xf numFmtId="43" fontId="4" fillId="0" borderId="12" xfId="4" applyNumberFormat="1" applyFont="1" applyFill="1" applyBorder="1" applyAlignment="1">
      <alignment horizontal="center" vertical="top"/>
    </xf>
    <xf numFmtId="10" fontId="4" fillId="0" borderId="5" xfId="0" applyNumberFormat="1" applyFont="1" applyFill="1" applyBorder="1" applyAlignment="1">
      <alignment horizontal="left" vertical="top" wrapText="1"/>
    </xf>
    <xf numFmtId="0" fontId="4" fillId="0" borderId="5" xfId="0" applyFont="1" applyBorder="1" applyAlignment="1">
      <alignment horizontal="left" vertical="top" wrapText="1"/>
    </xf>
    <xf numFmtId="10" fontId="4" fillId="0" borderId="5" xfId="0" applyNumberFormat="1" applyFont="1" applyFill="1" applyBorder="1" applyAlignment="1">
      <alignment horizontal="left" vertical="top"/>
    </xf>
    <xf numFmtId="0" fontId="4" fillId="0" borderId="5" xfId="0" applyFont="1" applyBorder="1" applyAlignment="1">
      <alignment horizontal="left" vertical="top"/>
    </xf>
    <xf numFmtId="10" fontId="4" fillId="0" borderId="5" xfId="0" applyNumberFormat="1" applyFont="1" applyBorder="1" applyAlignment="1">
      <alignment horizontal="left" vertical="top" wrapText="1"/>
    </xf>
    <xf numFmtId="10" fontId="4" fillId="0" borderId="5" xfId="0" applyNumberFormat="1" applyFont="1" applyBorder="1" applyAlignment="1">
      <alignment horizontal="left" vertical="top"/>
    </xf>
    <xf numFmtId="43" fontId="4" fillId="0" borderId="5" xfId="4" applyFont="1" applyBorder="1" applyAlignment="1">
      <alignment horizontal="left" vertical="top" wrapText="1"/>
    </xf>
    <xf numFmtId="43" fontId="4" fillId="0" borderId="5" xfId="4" applyFont="1" applyBorder="1" applyAlignment="1">
      <alignment horizontal="left" vertical="top"/>
    </xf>
    <xf numFmtId="0" fontId="4" fillId="0" borderId="5" xfId="0" applyFont="1" applyBorder="1" applyAlignment="1">
      <alignment horizontal="center" vertical="top"/>
    </xf>
    <xf numFmtId="0" fontId="4" fillId="9" borderId="5" xfId="0" applyFont="1" applyFill="1" applyBorder="1" applyAlignment="1">
      <alignment horizontal="center" vertical="top"/>
    </xf>
    <xf numFmtId="0" fontId="4" fillId="0" borderId="5" xfId="0" applyFont="1" applyFill="1" applyBorder="1" applyAlignment="1">
      <alignment horizontal="left" vertical="top" wrapText="1"/>
    </xf>
    <xf numFmtId="0" fontId="4" fillId="0" borderId="5" xfId="0" applyFont="1" applyFill="1" applyBorder="1" applyAlignment="1">
      <alignment horizontal="left" vertical="top"/>
    </xf>
    <xf numFmtId="0" fontId="20" fillId="0" borderId="5" xfId="0" applyFont="1" applyFill="1" applyBorder="1" applyAlignment="1">
      <alignment horizontal="left" vertical="top" wrapText="1"/>
    </xf>
    <xf numFmtId="0" fontId="20" fillId="0" borderId="5" xfId="0" applyFont="1" applyFill="1" applyBorder="1" applyAlignment="1">
      <alignment horizontal="left" vertical="top"/>
    </xf>
    <xf numFmtId="10" fontId="20" fillId="0" borderId="5" xfId="0" applyNumberFormat="1" applyFont="1" applyFill="1" applyBorder="1" applyAlignment="1">
      <alignment horizontal="left" vertical="top" wrapText="1"/>
    </xf>
    <xf numFmtId="0" fontId="20" fillId="0" borderId="5" xfId="0" applyFont="1" applyBorder="1" applyAlignment="1">
      <alignment horizontal="left" vertical="top" wrapText="1"/>
    </xf>
    <xf numFmtId="10" fontId="20" fillId="0" borderId="5" xfId="0" applyNumberFormat="1" applyFont="1" applyFill="1" applyBorder="1" applyAlignment="1">
      <alignment horizontal="left" vertical="top"/>
    </xf>
    <xf numFmtId="0" fontId="36" fillId="0" borderId="5" xfId="6" applyFont="1" applyFill="1" applyBorder="1" applyAlignment="1">
      <alignment horizontal="left" vertical="top" wrapText="1"/>
    </xf>
    <xf numFmtId="0" fontId="36" fillId="0" borderId="5" xfId="6" applyFont="1" applyFill="1" applyBorder="1" applyAlignment="1">
      <alignment horizontal="left" vertical="top"/>
    </xf>
    <xf numFmtId="0" fontId="20" fillId="0" borderId="5" xfId="0" applyFont="1" applyBorder="1" applyAlignment="1">
      <alignment horizontal="left" vertical="top"/>
    </xf>
    <xf numFmtId="0" fontId="36" fillId="0" borderId="22" xfId="6" applyFont="1" applyFill="1" applyBorder="1" applyAlignment="1">
      <alignment horizontal="left" vertical="top" wrapText="1"/>
    </xf>
    <xf numFmtId="0" fontId="20" fillId="0" borderId="26" xfId="0" applyFont="1" applyBorder="1" applyAlignment="1">
      <alignment horizontal="left" vertical="top" wrapText="1"/>
    </xf>
    <xf numFmtId="0" fontId="20" fillId="0" borderId="12" xfId="0" applyFont="1" applyBorder="1" applyAlignment="1">
      <alignment horizontal="left" vertical="top" wrapText="1"/>
    </xf>
    <xf numFmtId="9" fontId="20" fillId="0" borderId="5" xfId="0" applyNumberFormat="1" applyFont="1" applyFill="1" applyBorder="1" applyAlignment="1">
      <alignment horizontal="left" vertical="top" wrapText="1"/>
    </xf>
    <xf numFmtId="9" fontId="20" fillId="0" borderId="5" xfId="0" applyNumberFormat="1" applyFont="1" applyFill="1" applyBorder="1" applyAlignment="1">
      <alignment horizontal="left" vertical="top"/>
    </xf>
    <xf numFmtId="0" fontId="4" fillId="0" borderId="22" xfId="0" applyFont="1" applyBorder="1" applyAlignment="1">
      <alignment horizontal="left" vertical="top"/>
    </xf>
    <xf numFmtId="0" fontId="4" fillId="0" borderId="26" xfId="0" applyFont="1" applyBorder="1" applyAlignment="1">
      <alignment horizontal="left" vertical="top"/>
    </xf>
    <xf numFmtId="0" fontId="4" fillId="0" borderId="12" xfId="0" applyFont="1" applyBorder="1" applyAlignment="1">
      <alignment horizontal="left" vertical="top"/>
    </xf>
    <xf numFmtId="0" fontId="7" fillId="2" borderId="21"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4" fillId="0" borderId="5" xfId="0" applyFont="1" applyFill="1" applyBorder="1" applyAlignment="1">
      <alignment horizontal="center" vertical="center"/>
    </xf>
    <xf numFmtId="0" fontId="20" fillId="0" borderId="22" xfId="0" applyFont="1" applyBorder="1" applyAlignment="1">
      <alignment horizontal="left" vertical="center" wrapText="1"/>
    </xf>
    <xf numFmtId="0" fontId="20" fillId="0" borderId="26" xfId="0" applyFont="1" applyBorder="1" applyAlignment="1">
      <alignment horizontal="left" vertical="center" wrapText="1"/>
    </xf>
    <xf numFmtId="0" fontId="20" fillId="0" borderId="12" xfId="0" applyFont="1" applyBorder="1" applyAlignment="1">
      <alignment horizontal="left" vertical="center" wrapText="1"/>
    </xf>
    <xf numFmtId="0" fontId="20" fillId="0" borderId="23" xfId="0" applyFont="1" applyBorder="1" applyAlignment="1">
      <alignment horizontal="left" vertical="center" wrapText="1"/>
    </xf>
    <xf numFmtId="0" fontId="20" fillId="0" borderId="30" xfId="0" applyFont="1" applyBorder="1" applyAlignment="1">
      <alignment horizontal="left" vertical="center" wrapText="1"/>
    </xf>
    <xf numFmtId="0" fontId="20" fillId="0" borderId="27" xfId="0" applyFont="1" applyBorder="1" applyAlignment="1">
      <alignment horizontal="left" vertical="center" wrapText="1"/>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4" fillId="9" borderId="5" xfId="0" applyFont="1" applyFill="1" applyBorder="1" applyAlignment="1">
      <alignment horizontal="center" vertical="center"/>
    </xf>
    <xf numFmtId="43" fontId="4" fillId="0" borderId="22" xfId="4" applyFont="1" applyFill="1" applyBorder="1" applyAlignment="1">
      <alignment horizontal="center" vertical="center"/>
    </xf>
    <xf numFmtId="43" fontId="4" fillId="0" borderId="26" xfId="4" applyFont="1" applyFill="1" applyBorder="1" applyAlignment="1">
      <alignment horizontal="center" vertical="center"/>
    </xf>
    <xf numFmtId="43" fontId="4" fillId="0" borderId="12" xfId="4" applyFont="1" applyFill="1" applyBorder="1" applyAlignment="1">
      <alignment horizontal="center" vertical="center"/>
    </xf>
    <xf numFmtId="0" fontId="7" fillId="2" borderId="23"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28" xfId="0" applyFont="1" applyFill="1" applyBorder="1" applyAlignment="1">
      <alignment horizontal="center" vertical="center"/>
    </xf>
    <xf numFmtId="10" fontId="20" fillId="0" borderId="22" xfId="0" applyNumberFormat="1" applyFont="1" applyBorder="1" applyAlignment="1">
      <alignment horizontal="left" vertical="center" wrapText="1"/>
    </xf>
    <xf numFmtId="10" fontId="20" fillId="0" borderId="23" xfId="0" applyNumberFormat="1" applyFont="1" applyBorder="1" applyAlignment="1">
      <alignment horizontal="left" vertical="center" wrapText="1"/>
    </xf>
    <xf numFmtId="0" fontId="20" fillId="0" borderId="22" xfId="0" applyFont="1" applyFill="1" applyBorder="1" applyAlignment="1">
      <alignment horizontal="left" vertical="center" wrapText="1"/>
    </xf>
    <xf numFmtId="0" fontId="20" fillId="0" borderId="26"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20" fillId="0" borderId="23" xfId="0" applyFont="1" applyFill="1" applyBorder="1" applyAlignment="1">
      <alignment horizontal="left" vertical="center" wrapText="1"/>
    </xf>
    <xf numFmtId="0" fontId="20" fillId="0" borderId="30" xfId="0" applyFont="1" applyFill="1" applyBorder="1" applyAlignment="1">
      <alignment horizontal="left" vertical="center" wrapText="1"/>
    </xf>
    <xf numFmtId="0" fontId="20" fillId="0" borderId="27" xfId="0" applyFont="1" applyFill="1" applyBorder="1" applyAlignment="1">
      <alignment horizontal="left" vertical="center" wrapText="1"/>
    </xf>
    <xf numFmtId="177" fontId="20" fillId="0" borderId="22" xfId="0" applyNumberFormat="1" applyFont="1" applyBorder="1" applyAlignment="1">
      <alignment horizontal="left" vertical="center" wrapText="1"/>
    </xf>
    <xf numFmtId="177" fontId="20" fillId="0" borderId="23" xfId="0" applyNumberFormat="1" applyFont="1" applyBorder="1" applyAlignment="1">
      <alignment horizontal="left" vertical="center" wrapText="1"/>
    </xf>
    <xf numFmtId="10" fontId="20" fillId="0" borderId="26" xfId="0" applyNumberFormat="1" applyFont="1" applyBorder="1" applyAlignment="1">
      <alignment horizontal="left" vertical="center" wrapText="1"/>
    </xf>
    <xf numFmtId="10" fontId="20" fillId="0" borderId="12" xfId="0" applyNumberFormat="1" applyFont="1" applyBorder="1" applyAlignment="1">
      <alignment horizontal="left" vertical="center" wrapText="1"/>
    </xf>
    <xf numFmtId="0" fontId="4" fillId="0" borderId="22" xfId="0" applyFont="1" applyBorder="1" applyAlignment="1">
      <alignment horizontal="left" vertical="center"/>
    </xf>
    <xf numFmtId="0" fontId="4" fillId="0" borderId="12" xfId="0" applyFont="1" applyBorder="1" applyAlignment="1">
      <alignment horizontal="left" vertical="center"/>
    </xf>
    <xf numFmtId="0" fontId="4" fillId="9" borderId="22"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12" xfId="0" applyFont="1" applyFill="1" applyBorder="1" applyAlignment="1">
      <alignment horizontal="center" vertical="center"/>
    </xf>
    <xf numFmtId="43" fontId="4" fillId="0" borderId="22" xfId="0" applyNumberFormat="1" applyFont="1" applyFill="1" applyBorder="1" applyAlignment="1">
      <alignment horizontal="center" vertical="center"/>
    </xf>
    <xf numFmtId="43" fontId="4" fillId="0" borderId="26" xfId="0" applyNumberFormat="1" applyFont="1" applyFill="1" applyBorder="1" applyAlignment="1">
      <alignment horizontal="center" vertical="center"/>
    </xf>
    <xf numFmtId="43" fontId="4" fillId="0" borderId="12" xfId="0" applyNumberFormat="1" applyFont="1" applyFill="1" applyBorder="1" applyAlignment="1">
      <alignment horizontal="center" vertical="center"/>
    </xf>
    <xf numFmtId="0" fontId="58" fillId="0" borderId="0" xfId="0" applyFont="1" applyAlignment="1">
      <alignment horizontal="justify" vertical="center"/>
    </xf>
    <xf numFmtId="0" fontId="56" fillId="0" borderId="0" xfId="0" applyFont="1" applyAlignment="1">
      <alignment horizontal="justify" vertical="center"/>
    </xf>
    <xf numFmtId="0" fontId="0" fillId="17" borderId="5" xfId="0" applyFill="1" applyBorder="1" applyAlignment="1">
      <alignment horizontal="center" vertical="center"/>
    </xf>
    <xf numFmtId="0" fontId="0" fillId="12" borderId="5" xfId="0" applyFill="1" applyBorder="1" applyAlignment="1">
      <alignment horizontal="center" vertical="center"/>
    </xf>
    <xf numFmtId="182" fontId="4" fillId="0" borderId="5" xfId="0" applyNumberFormat="1" applyFont="1" applyFill="1" applyBorder="1" applyAlignment="1">
      <alignment horizontal="center" vertical="center"/>
    </xf>
    <xf numFmtId="182" fontId="4" fillId="6" borderId="5" xfId="0" applyNumberFormat="1" applyFont="1" applyFill="1" applyBorder="1" applyAlignment="1">
      <alignment horizontal="center" vertical="center"/>
    </xf>
    <xf numFmtId="0" fontId="4" fillId="0" borderId="5" xfId="0" applyFont="1" applyFill="1" applyBorder="1" applyAlignment="1">
      <alignment horizontal="right" vertical="center"/>
    </xf>
    <xf numFmtId="0" fontId="4" fillId="0" borderId="26" xfId="0" applyFont="1" applyBorder="1" applyAlignment="1">
      <alignment horizontal="left" vertical="center"/>
    </xf>
    <xf numFmtId="0" fontId="4" fillId="0" borderId="37" xfId="0" applyFont="1" applyBorder="1" applyAlignment="1">
      <alignment horizontal="left" vertical="center"/>
    </xf>
    <xf numFmtId="0" fontId="4" fillId="9" borderId="21" xfId="0" applyFont="1" applyFill="1" applyBorder="1" applyAlignment="1">
      <alignment horizontal="center" vertical="center"/>
    </xf>
    <xf numFmtId="0" fontId="4" fillId="0" borderId="22" xfId="0" applyFont="1" applyBorder="1" applyAlignment="1">
      <alignment horizontal="center" vertical="center"/>
    </xf>
    <xf numFmtId="0" fontId="4" fillId="0" borderId="26" xfId="0" applyFont="1" applyBorder="1" applyAlignment="1">
      <alignment horizontal="center" vertical="center"/>
    </xf>
    <xf numFmtId="0" fontId="4" fillId="0" borderId="12" xfId="0" applyFont="1" applyBorder="1" applyAlignment="1">
      <alignment horizontal="center" vertical="center"/>
    </xf>
    <xf numFmtId="9" fontId="4" fillId="0" borderId="22" xfId="0" applyNumberFormat="1" applyFont="1" applyFill="1" applyBorder="1" applyAlignment="1">
      <alignment horizontal="left" vertical="center"/>
    </xf>
    <xf numFmtId="0" fontId="4" fillId="0" borderId="22" xfId="0" applyFont="1" applyFill="1" applyBorder="1" applyAlignment="1">
      <alignment horizontal="left" vertical="center"/>
    </xf>
    <xf numFmtId="0" fontId="4" fillId="0" borderId="26" xfId="0" applyFont="1" applyFill="1" applyBorder="1" applyAlignment="1">
      <alignment horizontal="left" vertical="center"/>
    </xf>
    <xf numFmtId="0" fontId="4" fillId="0" borderId="12" xfId="0" applyFont="1" applyFill="1" applyBorder="1" applyAlignment="1">
      <alignment horizontal="left" vertical="center"/>
    </xf>
    <xf numFmtId="43" fontId="4" fillId="0" borderId="22" xfId="4" applyFont="1" applyBorder="1" applyAlignment="1">
      <alignment horizontal="center" vertical="center"/>
    </xf>
    <xf numFmtId="43" fontId="4" fillId="0" borderId="12" xfId="4" applyFont="1" applyBorder="1" applyAlignment="1">
      <alignment horizontal="center" vertical="center"/>
    </xf>
    <xf numFmtId="0" fontId="71" fillId="2" borderId="21" xfId="0" applyFont="1" applyFill="1" applyBorder="1" applyAlignment="1">
      <alignment horizontal="center" vertical="center"/>
    </xf>
    <xf numFmtId="0" fontId="71" fillId="2" borderId="19" xfId="0" applyFont="1" applyFill="1" applyBorder="1" applyAlignment="1">
      <alignment horizontal="center" vertical="center"/>
    </xf>
    <xf numFmtId="0" fontId="71" fillId="2" borderId="31" xfId="0" applyFont="1" applyFill="1" applyBorder="1" applyAlignment="1">
      <alignment horizontal="center" vertical="center"/>
    </xf>
    <xf numFmtId="0" fontId="71" fillId="2" borderId="7" xfId="0" applyFont="1" applyFill="1" applyBorder="1" applyAlignment="1">
      <alignment horizontal="center" vertical="center"/>
    </xf>
    <xf numFmtId="0" fontId="4" fillId="0" borderId="22" xfId="0" applyFont="1" applyBorder="1" applyAlignment="1">
      <alignment horizontal="left" vertical="center" wrapText="1"/>
    </xf>
    <xf numFmtId="10" fontId="4" fillId="0" borderId="22" xfId="0" applyNumberFormat="1" applyFont="1" applyBorder="1" applyAlignment="1">
      <alignment horizontal="left" vertical="center"/>
    </xf>
    <xf numFmtId="177" fontId="4" fillId="0" borderId="22" xfId="0" applyNumberFormat="1" applyFont="1" applyBorder="1" applyAlignment="1">
      <alignment horizontal="left" vertical="center"/>
    </xf>
    <xf numFmtId="43" fontId="4" fillId="0" borderId="26" xfId="4" applyFont="1" applyBorder="1" applyAlignment="1">
      <alignment horizontal="center" vertical="center"/>
    </xf>
    <xf numFmtId="0" fontId="4" fillId="6" borderId="5" xfId="0" applyFont="1" applyFill="1" applyBorder="1" applyAlignment="1">
      <alignment horizontal="center" vertical="center"/>
    </xf>
    <xf numFmtId="192" fontId="4" fillId="0" borderId="22" xfId="4" applyNumberFormat="1" applyFont="1" applyBorder="1" applyAlignment="1">
      <alignment horizontal="center" vertical="center"/>
    </xf>
    <xf numFmtId="192" fontId="4" fillId="0" borderId="26" xfId="4" applyNumberFormat="1" applyFont="1" applyBorder="1" applyAlignment="1">
      <alignment horizontal="center" vertical="center"/>
    </xf>
    <xf numFmtId="192" fontId="4" fillId="0" borderId="12" xfId="4" applyNumberFormat="1" applyFont="1" applyBorder="1" applyAlignment="1">
      <alignment horizontal="center" vertical="center"/>
    </xf>
    <xf numFmtId="183" fontId="4" fillId="0" borderId="22" xfId="4" applyNumberFormat="1" applyFont="1" applyBorder="1" applyAlignment="1">
      <alignment horizontal="center" vertical="center"/>
    </xf>
    <xf numFmtId="183" fontId="4" fillId="0" borderId="26" xfId="4" applyNumberFormat="1" applyFont="1" applyBorder="1" applyAlignment="1">
      <alignment horizontal="center" vertical="center"/>
    </xf>
    <xf numFmtId="183" fontId="4" fillId="0" borderId="12" xfId="4" applyNumberFormat="1" applyFont="1" applyBorder="1" applyAlignment="1">
      <alignment horizontal="center" vertical="center"/>
    </xf>
    <xf numFmtId="43" fontId="4" fillId="0" borderId="22" xfId="0" applyNumberFormat="1" applyFont="1" applyBorder="1" applyAlignment="1">
      <alignment horizontal="center" vertical="center"/>
    </xf>
    <xf numFmtId="43" fontId="4" fillId="0" borderId="26" xfId="0" applyNumberFormat="1" applyFont="1" applyBorder="1" applyAlignment="1">
      <alignment horizontal="center" vertical="center"/>
    </xf>
    <xf numFmtId="43" fontId="4" fillId="0" borderId="12" xfId="0" applyNumberFormat="1" applyFont="1" applyBorder="1" applyAlignment="1">
      <alignment horizontal="center" vertical="center"/>
    </xf>
    <xf numFmtId="0" fontId="20" fillId="0" borderId="28" xfId="0" applyFont="1" applyFill="1" applyBorder="1" applyAlignment="1">
      <alignment horizontal="left" vertical="center" wrapText="1"/>
    </xf>
    <xf numFmtId="0" fontId="20" fillId="0" borderId="29" xfId="0" applyFont="1" applyFill="1" applyBorder="1" applyAlignment="1">
      <alignment horizontal="left" vertical="center" wrapText="1"/>
    </xf>
    <xf numFmtId="179" fontId="4" fillId="9" borderId="5" xfId="0" applyNumberFormat="1" applyFont="1" applyFill="1" applyBorder="1" applyAlignment="1">
      <alignment horizontal="center" vertical="center"/>
    </xf>
    <xf numFmtId="179" fontId="4" fillId="0" borderId="5" xfId="0" applyNumberFormat="1" applyFont="1" applyFill="1" applyBorder="1" applyAlignment="1">
      <alignment horizontal="left" vertical="center"/>
    </xf>
    <xf numFmtId="179" fontId="4" fillId="0" borderId="5" xfId="0" applyNumberFormat="1" applyFont="1" applyFill="1" applyBorder="1" applyAlignment="1">
      <alignment horizontal="center" vertical="center"/>
    </xf>
    <xf numFmtId="9" fontId="4" fillId="3" borderId="5" xfId="0" applyNumberFormat="1" applyFont="1" applyFill="1" applyBorder="1" applyAlignment="1">
      <alignment horizontal="right" vertical="center"/>
    </xf>
    <xf numFmtId="0" fontId="20" fillId="0" borderId="5" xfId="0" applyFont="1" applyFill="1" applyBorder="1" applyAlignment="1">
      <alignment horizontal="left" vertical="center" wrapText="1"/>
    </xf>
    <xf numFmtId="177" fontId="4" fillId="0" borderId="22" xfId="0" applyNumberFormat="1" applyFont="1" applyFill="1" applyBorder="1" applyAlignment="1">
      <alignment horizontal="right" vertical="center"/>
    </xf>
    <xf numFmtId="177" fontId="4" fillId="0" borderId="12" xfId="0" applyNumberFormat="1" applyFont="1" applyFill="1" applyBorder="1" applyAlignment="1">
      <alignment horizontal="right" vertical="center"/>
    </xf>
    <xf numFmtId="0" fontId="20" fillId="0" borderId="22"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23"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5" fillId="14" borderId="21" xfId="0" applyFont="1" applyFill="1" applyBorder="1" applyAlignment="1">
      <alignment horizontal="center" vertical="center"/>
    </xf>
    <xf numFmtId="0" fontId="5" fillId="14" borderId="31" xfId="0" applyFont="1" applyFill="1" applyBorder="1" applyAlignment="1">
      <alignment horizontal="center" vertical="center"/>
    </xf>
    <xf numFmtId="43" fontId="4" fillId="19" borderId="22" xfId="4" applyFont="1" applyFill="1" applyBorder="1" applyAlignment="1">
      <alignment horizontal="center" vertical="center"/>
    </xf>
    <xf numFmtId="43" fontId="4" fillId="19" borderId="12" xfId="4" applyFont="1" applyFill="1" applyBorder="1" applyAlignment="1">
      <alignment horizontal="center" vertical="center"/>
    </xf>
    <xf numFmtId="181" fontId="4" fillId="0" borderId="5" xfId="0" quotePrefix="1" applyNumberFormat="1" applyFont="1" applyFill="1" applyBorder="1" applyAlignment="1">
      <alignment horizontal="center" vertical="center"/>
    </xf>
    <xf numFmtId="181" fontId="4" fillId="0" borderId="5" xfId="0" applyNumberFormat="1" applyFont="1" applyFill="1" applyBorder="1" applyAlignment="1">
      <alignment horizontal="center" vertical="center"/>
    </xf>
    <xf numFmtId="0" fontId="20" fillId="0" borderId="5" xfId="0" applyFont="1" applyBorder="1" applyAlignment="1">
      <alignment horizontal="left" vertical="center" wrapText="1"/>
    </xf>
    <xf numFmtId="0" fontId="6" fillId="14" borderId="5" xfId="0" applyFont="1" applyFill="1" applyBorder="1" applyAlignment="1">
      <alignment horizontal="left" vertical="center" wrapText="1"/>
    </xf>
    <xf numFmtId="0" fontId="6" fillId="14" borderId="5" xfId="0" applyFont="1" applyFill="1" applyBorder="1" applyAlignment="1">
      <alignment vertical="center" wrapText="1"/>
    </xf>
    <xf numFmtId="186" fontId="4" fillId="14" borderId="5" xfId="4" applyNumberFormat="1" applyFont="1" applyFill="1" applyBorder="1" applyAlignment="1">
      <alignment horizontal="center" vertical="center"/>
    </xf>
    <xf numFmtId="0" fontId="4" fillId="0" borderId="22" xfId="0" applyFont="1" applyFill="1" applyBorder="1" applyAlignment="1">
      <alignment horizontal="center" vertical="center"/>
    </xf>
    <xf numFmtId="0" fontId="4" fillId="0" borderId="12" xfId="0" applyFont="1" applyFill="1" applyBorder="1" applyAlignment="1">
      <alignment horizontal="center" vertical="center"/>
    </xf>
    <xf numFmtId="0" fontId="20" fillId="0" borderId="22" xfId="0" applyFont="1" applyBorder="1" applyAlignment="1">
      <alignment horizontal="left" vertical="top" wrapText="1"/>
    </xf>
    <xf numFmtId="0" fontId="20" fillId="0" borderId="22" xfId="0" applyFont="1" applyFill="1" applyBorder="1" applyAlignment="1">
      <alignment horizontal="left" vertical="top" wrapText="1"/>
    </xf>
    <xf numFmtId="0" fontId="20" fillId="0" borderId="12" xfId="0" applyFont="1" applyFill="1" applyBorder="1" applyAlignment="1">
      <alignment horizontal="left" vertical="top" wrapText="1"/>
    </xf>
    <xf numFmtId="0" fontId="20" fillId="0" borderId="21" xfId="0" applyFont="1" applyBorder="1" applyAlignment="1">
      <alignment horizontal="left" vertical="center" wrapText="1"/>
    </xf>
    <xf numFmtId="0" fontId="20" fillId="0" borderId="22" xfId="0" applyFont="1" applyFill="1" applyBorder="1" applyAlignment="1">
      <alignment vertical="center" wrapText="1"/>
    </xf>
    <xf numFmtId="0" fontId="20" fillId="0" borderId="26" xfId="0" applyFont="1" applyFill="1" applyBorder="1" applyAlignment="1">
      <alignment vertical="center" wrapText="1"/>
    </xf>
    <xf numFmtId="0" fontId="20" fillId="0" borderId="12" xfId="0" applyFont="1" applyFill="1" applyBorder="1" applyAlignment="1">
      <alignment vertical="center" wrapText="1"/>
    </xf>
    <xf numFmtId="0" fontId="20" fillId="0" borderId="26" xfId="0" applyFont="1" applyFill="1" applyBorder="1">
      <alignment vertical="center"/>
    </xf>
    <xf numFmtId="0" fontId="20" fillId="0" borderId="12" xfId="0" applyFont="1" applyFill="1" applyBorder="1">
      <alignment vertical="center"/>
    </xf>
    <xf numFmtId="0" fontId="4" fillId="9" borderId="5"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22" xfId="0" applyFont="1" applyBorder="1" applyAlignment="1">
      <alignment horizontal="center" vertical="center" wrapText="1"/>
    </xf>
    <xf numFmtId="0" fontId="11" fillId="0" borderId="5" xfId="0" applyFont="1" applyFill="1" applyBorder="1" applyAlignment="1">
      <alignment vertical="center" wrapText="1"/>
    </xf>
    <xf numFmtId="0" fontId="11" fillId="0" borderId="5" xfId="0" applyFont="1" applyFill="1" applyBorder="1" applyAlignment="1">
      <alignment horizontal="center" vertical="center" wrapText="1"/>
    </xf>
    <xf numFmtId="0" fontId="36" fillId="0" borderId="5" xfId="0" applyFont="1" applyFill="1" applyBorder="1" applyAlignment="1">
      <alignment horizontal="left" vertical="center" wrapText="1"/>
    </xf>
    <xf numFmtId="0" fontId="36" fillId="0" borderId="21" xfId="0" applyFont="1" applyBorder="1" applyAlignment="1">
      <alignment horizontal="left" vertical="center" wrapText="1"/>
    </xf>
    <xf numFmtId="0" fontId="36" fillId="0" borderId="19" xfId="0" applyFont="1" applyBorder="1" applyAlignment="1">
      <alignment horizontal="left" vertical="center" wrapText="1"/>
    </xf>
    <xf numFmtId="0" fontId="36" fillId="0" borderId="31" xfId="0" applyFont="1" applyBorder="1" applyAlignment="1">
      <alignment horizontal="left" vertical="center" wrapText="1"/>
    </xf>
    <xf numFmtId="0" fontId="20" fillId="0" borderId="21" xfId="0" applyFont="1" applyFill="1" applyBorder="1" applyAlignment="1">
      <alignment horizontal="left" vertical="center" wrapText="1"/>
    </xf>
    <xf numFmtId="0" fontId="20" fillId="0" borderId="19" xfId="0" applyFont="1" applyFill="1" applyBorder="1" applyAlignment="1">
      <alignment horizontal="left" vertical="center" wrapText="1"/>
    </xf>
    <xf numFmtId="0" fontId="20" fillId="0" borderId="31" xfId="0" applyFont="1" applyFill="1" applyBorder="1" applyAlignment="1">
      <alignment horizontal="left" vertical="center" wrapText="1"/>
    </xf>
    <xf numFmtId="0" fontId="26" fillId="0" borderId="21" xfId="0" applyFont="1" applyFill="1" applyBorder="1" applyAlignment="1">
      <alignment horizontal="center" vertical="center" wrapText="1"/>
    </xf>
    <xf numFmtId="0" fontId="26" fillId="0" borderId="19" xfId="0" applyFont="1" applyFill="1" applyBorder="1" applyAlignment="1">
      <alignment horizontal="center" vertical="center" wrapText="1"/>
    </xf>
    <xf numFmtId="0" fontId="26" fillId="0" borderId="31"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26"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0" fillId="0" borderId="19" xfId="0" applyFont="1" applyBorder="1" applyAlignment="1">
      <alignment horizontal="left" vertical="center" wrapText="1"/>
    </xf>
    <xf numFmtId="0" fontId="20" fillId="0" borderId="31" xfId="0" applyFont="1" applyBorder="1" applyAlignment="1">
      <alignment horizontal="left" vertical="center" wrapText="1"/>
    </xf>
    <xf numFmtId="0" fontId="20" fillId="0" borderId="35" xfId="0" applyFont="1" applyBorder="1" applyAlignment="1">
      <alignment horizontal="left" vertical="center" wrapText="1"/>
    </xf>
    <xf numFmtId="0" fontId="20" fillId="0" borderId="28" xfId="0" applyFont="1" applyBorder="1" applyAlignment="1">
      <alignment horizontal="left" vertical="center" wrapText="1"/>
    </xf>
    <xf numFmtId="0" fontId="20" fillId="0" borderId="7" xfId="0" applyFont="1" applyBorder="1" applyAlignment="1">
      <alignment horizontal="left" vertical="center" wrapText="1"/>
    </xf>
    <xf numFmtId="0" fontId="20" fillId="0" borderId="29" xfId="0" applyFont="1" applyBorder="1" applyAlignment="1">
      <alignment horizontal="left" vertical="center" wrapText="1"/>
    </xf>
    <xf numFmtId="0" fontId="20" fillId="0" borderId="21" xfId="0" applyFont="1" applyBorder="1" applyAlignment="1">
      <alignment vertical="center" wrapText="1"/>
    </xf>
    <xf numFmtId="0" fontId="20" fillId="0" borderId="19" xfId="0" applyFont="1" applyBorder="1" applyAlignment="1">
      <alignment vertical="center" wrapText="1"/>
    </xf>
    <xf numFmtId="0" fontId="20" fillId="0" borderId="31" xfId="0" applyFont="1" applyBorder="1" applyAlignment="1">
      <alignment vertical="center" wrapText="1"/>
    </xf>
    <xf numFmtId="0" fontId="20" fillId="0" borderId="23" xfId="0" applyFont="1" applyBorder="1" applyAlignment="1">
      <alignment vertical="center" wrapText="1"/>
    </xf>
    <xf numFmtId="0" fontId="20" fillId="0" borderId="35" xfId="0" applyFont="1" applyBorder="1" applyAlignment="1">
      <alignment vertical="center" wrapText="1"/>
    </xf>
    <xf numFmtId="0" fontId="20" fillId="0" borderId="28" xfId="0" applyFont="1" applyBorder="1" applyAlignment="1">
      <alignment vertical="center" wrapText="1"/>
    </xf>
    <xf numFmtId="0" fontId="20" fillId="0" borderId="27" xfId="0" applyFont="1" applyBorder="1" applyAlignment="1">
      <alignment vertical="center" wrapText="1"/>
    </xf>
    <xf numFmtId="0" fontId="20" fillId="0" borderId="7" xfId="0" applyFont="1" applyBorder="1" applyAlignment="1">
      <alignment vertical="center" wrapText="1"/>
    </xf>
    <xf numFmtId="0" fontId="20" fillId="0" borderId="29" xfId="0" applyFont="1" applyBorder="1" applyAlignment="1">
      <alignment vertical="center" wrapText="1"/>
    </xf>
    <xf numFmtId="0" fontId="20" fillId="0" borderId="5" xfId="0" applyFont="1" applyFill="1" applyBorder="1" applyAlignment="1">
      <alignment horizontal="center" vertical="center" wrapText="1"/>
    </xf>
    <xf numFmtId="0" fontId="20" fillId="11" borderId="22" xfId="0" applyFont="1" applyFill="1" applyBorder="1" applyAlignment="1">
      <alignment horizontal="center" vertical="center" wrapText="1"/>
    </xf>
    <xf numFmtId="0" fontId="20" fillId="11" borderId="12" xfId="0" applyFont="1" applyFill="1" applyBorder="1" applyAlignment="1">
      <alignment horizontal="center" vertical="center" wrapText="1"/>
    </xf>
    <xf numFmtId="0" fontId="20" fillId="0" borderId="5" xfId="0" applyFont="1" applyBorder="1">
      <alignment vertical="center"/>
    </xf>
    <xf numFmtId="0" fontId="20" fillId="0" borderId="22" xfId="0" applyFont="1" applyBorder="1" applyAlignment="1">
      <alignment horizontal="center" vertical="center" wrapText="1"/>
    </xf>
    <xf numFmtId="0" fontId="20" fillId="0" borderId="12" xfId="0" applyFont="1" applyBorder="1" applyAlignment="1">
      <alignment horizontal="center" vertical="center" wrapText="1"/>
    </xf>
    <xf numFmtId="0" fontId="26" fillId="0" borderId="22" xfId="0" applyFont="1" applyBorder="1" applyAlignment="1">
      <alignment vertical="center" wrapText="1"/>
    </xf>
    <xf numFmtId="0" fontId="26" fillId="0" borderId="12" xfId="0" applyFont="1" applyBorder="1" applyAlignment="1">
      <alignment vertical="center" wrapText="1"/>
    </xf>
    <xf numFmtId="0" fontId="11" fillId="0" borderId="22"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2" xfId="0" applyFont="1" applyBorder="1" applyAlignment="1">
      <alignment horizontal="center" vertical="center" wrapText="1"/>
    </xf>
    <xf numFmtId="0" fontId="24" fillId="0" borderId="22" xfId="6" applyFont="1" applyBorder="1" applyAlignment="1">
      <alignment horizontal="left" vertical="center" wrapText="1"/>
    </xf>
    <xf numFmtId="0" fontId="24" fillId="0" borderId="26" xfId="6" applyFont="1" applyBorder="1" applyAlignment="1">
      <alignment horizontal="left" vertical="center" wrapText="1"/>
    </xf>
    <xf numFmtId="0" fontId="24" fillId="0" borderId="12" xfId="6" applyFont="1" applyBorder="1" applyAlignment="1">
      <alignment horizontal="left" vertical="center" wrapText="1"/>
    </xf>
    <xf numFmtId="0" fontId="22" fillId="0" borderId="21" xfId="6" applyFont="1" applyBorder="1" applyAlignment="1">
      <alignment horizontal="center" vertical="center" wrapText="1"/>
    </xf>
    <xf numFmtId="0" fontId="22" fillId="0" borderId="31" xfId="6" applyFont="1" applyBorder="1" applyAlignment="1">
      <alignment horizontal="center" vertical="center" wrapText="1"/>
    </xf>
    <xf numFmtId="0" fontId="22" fillId="3" borderId="22" xfId="6" applyFont="1" applyFill="1" applyBorder="1" applyAlignment="1">
      <alignment horizontal="center" vertical="center" wrapText="1"/>
    </xf>
    <xf numFmtId="0" fontId="22" fillId="3" borderId="12" xfId="6" applyFont="1" applyFill="1" applyBorder="1" applyAlignment="1">
      <alignment horizontal="center" vertical="center" wrapText="1"/>
    </xf>
    <xf numFmtId="0" fontId="22" fillId="0" borderId="22" xfId="6" applyFont="1" applyBorder="1" applyAlignment="1">
      <alignment horizontal="center" vertical="center" wrapText="1"/>
    </xf>
    <xf numFmtId="0" fontId="22" fillId="0" borderId="26" xfId="6" applyFont="1" applyBorder="1" applyAlignment="1">
      <alignment horizontal="center" vertical="center" wrapText="1"/>
    </xf>
    <xf numFmtId="0" fontId="22" fillId="0" borderId="12" xfId="6" applyFont="1" applyBorder="1" applyAlignment="1">
      <alignment horizontal="center" vertical="center" wrapText="1"/>
    </xf>
    <xf numFmtId="0" fontId="21" fillId="0" borderId="7" xfId="6" applyFont="1" applyBorder="1" applyAlignment="1">
      <alignment horizontal="center" vertical="center"/>
    </xf>
    <xf numFmtId="0" fontId="22" fillId="7" borderId="5" xfId="6" applyFont="1" applyFill="1" applyBorder="1" applyAlignment="1">
      <alignment horizontal="center" vertical="center" wrapText="1"/>
    </xf>
    <xf numFmtId="0" fontId="24" fillId="0" borderId="22" xfId="6" applyFont="1" applyFill="1" applyBorder="1" applyAlignment="1">
      <alignment horizontal="left" vertical="center" wrapText="1"/>
    </xf>
    <xf numFmtId="0" fontId="24" fillId="0" borderId="26" xfId="6" applyFont="1" applyFill="1" applyBorder="1" applyAlignment="1">
      <alignment horizontal="left" vertical="center" wrapText="1"/>
    </xf>
    <xf numFmtId="0" fontId="24" fillId="0" borderId="12" xfId="6" applyFont="1" applyFill="1" applyBorder="1" applyAlignment="1">
      <alignment horizontal="left" vertical="center" wrapText="1"/>
    </xf>
    <xf numFmtId="0" fontId="31" fillId="0" borderId="5" xfId="0" applyFont="1" applyBorder="1" applyAlignment="1">
      <alignment vertical="center" wrapText="1"/>
    </xf>
    <xf numFmtId="0" fontId="33" fillId="0" borderId="5" xfId="0" applyFont="1" applyBorder="1" applyAlignment="1">
      <alignment horizontal="left" vertical="center" wrapText="1"/>
    </xf>
    <xf numFmtId="0" fontId="31" fillId="0" borderId="5" xfId="0" applyFont="1" applyBorder="1" applyAlignment="1">
      <alignment horizontal="left" vertical="center"/>
    </xf>
    <xf numFmtId="0" fontId="31" fillId="0" borderId="5" xfId="0" applyFont="1" applyBorder="1" applyAlignment="1">
      <alignment horizontal="center" vertical="center" wrapText="1"/>
    </xf>
    <xf numFmtId="0" fontId="31" fillId="0" borderId="5" xfId="0" applyFont="1" applyBorder="1" applyAlignment="1">
      <alignment horizontal="left" vertical="center" wrapText="1"/>
    </xf>
    <xf numFmtId="0" fontId="32" fillId="0" borderId="5" xfId="0" applyFont="1" applyBorder="1" applyAlignment="1">
      <alignment horizontal="center" vertical="center" wrapText="1"/>
    </xf>
    <xf numFmtId="0" fontId="32" fillId="0" borderId="5" xfId="0" applyFont="1" applyBorder="1" applyAlignment="1">
      <alignment horizontal="left" vertical="center" wrapText="1"/>
    </xf>
    <xf numFmtId="0" fontId="28" fillId="0" borderId="5" xfId="0" applyFont="1" applyBorder="1" applyAlignment="1">
      <alignment horizontal="center" vertical="center"/>
    </xf>
    <xf numFmtId="0" fontId="20" fillId="0" borderId="5" xfId="0" applyFont="1" applyBorder="1" applyAlignment="1">
      <alignment horizontal="center" vertical="center" wrapText="1"/>
    </xf>
    <xf numFmtId="0" fontId="41" fillId="0" borderId="7" xfId="0" applyFont="1" applyBorder="1" applyAlignment="1">
      <alignment horizontal="center" vertical="center"/>
    </xf>
    <xf numFmtId="0" fontId="20" fillId="0" borderId="5" xfId="0" applyFont="1" applyBorder="1" applyAlignment="1">
      <alignment horizontal="center" vertical="center"/>
    </xf>
  </cellXfs>
  <cellStyles count="13">
    <cellStyle name="百分比" xfId="3" builtinId="5"/>
    <cellStyle name="百分比 2" xfId="7"/>
    <cellStyle name="百分比 2 2" xfId="8"/>
    <cellStyle name="常规" xfId="0" builtinId="0"/>
    <cellStyle name="常规 2" xfId="6"/>
    <cellStyle name="常规 2 2" xfId="9"/>
    <cellStyle name="常规 2 3" xfId="10"/>
    <cellStyle name="常规 2 3 2" xfId="5"/>
    <cellStyle name="常规 2 4" xfId="11"/>
    <cellStyle name="常规 3" xfId="12"/>
    <cellStyle name="常规 4" xfId="1"/>
    <cellStyle name="超链接" xfId="2" builtinId="8"/>
    <cellStyle name="千位分隔" xfId="4" builtinId="3"/>
  </cellStyles>
  <dxfs count="400">
    <dxf>
      <font>
        <color auto="1"/>
      </font>
      <fill>
        <patternFill>
          <bgColor theme="9"/>
        </patternFill>
      </fill>
    </dxf>
    <dxf>
      <font>
        <color rgb="FFFF0000"/>
      </font>
    </dxf>
    <dxf>
      <font>
        <color rgb="FFFF0000"/>
      </font>
    </dxf>
    <dxf>
      <font>
        <color rgb="FFFF0000"/>
      </font>
    </dxf>
    <dxf>
      <font>
        <color rgb="FFFF0000"/>
      </font>
    </dxf>
    <dxf>
      <font>
        <color rgb="FFFF0000"/>
      </font>
    </dxf>
    <dxf>
      <font>
        <color rgb="FFFF0000"/>
      </font>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theme="9"/>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patternFill>
      </fill>
    </dxf>
    <dxf>
      <fill>
        <patternFill>
          <bgColor theme="5" tint="0.59996337778862885"/>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theme="9"/>
        </patternFill>
      </fill>
    </dxf>
    <dxf>
      <fill>
        <patternFill>
          <bgColor theme="9"/>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0000"/>
        </patternFill>
      </fill>
    </dxf>
    <dxf>
      <fill>
        <patternFill>
          <bgColor theme="9"/>
        </patternFill>
      </fill>
    </dxf>
    <dxf>
      <fill>
        <patternFill>
          <bgColor rgb="FFFF000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patternFill>
      </fill>
    </dxf>
    <dxf>
      <fill>
        <patternFill>
          <bgColor theme="9"/>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rgb="FFFF0000"/>
        </patternFill>
      </fill>
    </dxf>
    <dxf>
      <fill>
        <patternFill>
          <bgColor rgb="FFFF0000"/>
        </patternFill>
      </fill>
    </dxf>
    <dxf>
      <fill>
        <patternFill>
          <bgColor theme="9"/>
        </patternFill>
      </fill>
    </dxf>
    <dxf>
      <fill>
        <patternFill>
          <bgColor theme="9"/>
        </patternFill>
      </fill>
    </dxf>
    <dxf>
      <fill>
        <patternFill>
          <bgColor theme="9"/>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rgb="FFFF0000"/>
        </patternFill>
      </fill>
    </dxf>
    <dxf>
      <fill>
        <patternFill>
          <bgColor rgb="FFFF0000"/>
        </patternFill>
      </fill>
    </dxf>
    <dxf>
      <fill>
        <patternFill>
          <bgColor theme="5"/>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82" formatCode="0.00_ "/>
    </dxf>
    <dxf>
      <numFmt numFmtId="182" formatCode="0.00_ "/>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14" formatCode="0.00%"/>
    </dxf>
    <dxf>
      <numFmt numFmtId="182" formatCode="0.00_ "/>
    </dxf>
    <dxf>
      <numFmt numFmtId="0" formatCode="General"/>
    </dxf>
    <dxf>
      <border>
        <bottom style="thin">
          <color indexed="64"/>
        </bottom>
      </border>
    </dxf>
    <dxf>
      <numFmt numFmtId="14" formatCode="0.00%"/>
    </dxf>
    <dxf>
      <border>
        <left style="thin">
          <color indexed="64"/>
        </left>
        <right style="thin">
          <color indexed="64"/>
        </right>
        <vertical style="thin">
          <color indexed="64"/>
        </vertical>
        <horizontal style="thin">
          <color indexed="64"/>
        </horizontal>
      </border>
    </dxf>
    <dxf>
      <numFmt numFmtId="182" formatCode="0.00_ "/>
    </dxf>
    <dxf>
      <numFmt numFmtId="182" formatCode="0.00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vertical style="medium">
          <color indexed="64"/>
        </vertical>
        <horizontal style="medium">
          <color indexed="64"/>
        </horizontal>
      </border>
    </dxf>
    <dxf>
      <border>
        <left style="medium">
          <color indexed="64"/>
        </left>
        <right style="medium">
          <color indexed="64"/>
        </right>
        <top style="medium">
          <color indexed="64"/>
        </top>
        <bottom style="medium">
          <color indexed="64"/>
        </bottom>
        <vertical style="medium">
          <color indexed="64"/>
        </vertical>
        <horizontal style="medium">
          <color indexed="64"/>
        </horizontal>
      </border>
    </dxf>
    <dxf>
      <border>
        <left style="medium">
          <color indexed="64"/>
        </left>
        <right style="medium">
          <color indexed="64"/>
        </right>
        <top style="medium">
          <color indexed="64"/>
        </top>
        <bottom style="medium">
          <color indexed="64"/>
        </bottom>
        <vertical style="medium">
          <color indexed="64"/>
        </vertical>
        <horizontal style="medium">
          <color indexed="64"/>
        </horizontal>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pivotCacheDefinition" Target="pivotCache/pivotCacheDefinition3.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zh-CN"/>
              <a:t>2018Q1-2018Q2</a:t>
            </a:r>
            <a:r>
              <a:rPr lang="zh-CN" altLang="en-US"/>
              <a:t>变动情况</a:t>
            </a:r>
            <a:endParaRPr lang="en-US" altLang="zh-CN"/>
          </a:p>
        </c:rich>
      </c:tx>
    </c:title>
    <c:plotArea>
      <c:layout/>
      <c:barChart>
        <c:barDir val="col"/>
        <c:grouping val="stacked"/>
        <c:ser>
          <c:idx val="0"/>
          <c:order val="0"/>
          <c:spPr>
            <a:solidFill>
              <a:srgbClr val="002060"/>
            </a:solidFill>
          </c:spPr>
          <c:dPt>
            <c:idx val="1"/>
            <c:spPr>
              <a:noFill/>
            </c:spPr>
          </c:dPt>
          <c:dPt>
            <c:idx val="2"/>
            <c:spPr>
              <a:noFill/>
            </c:spPr>
          </c:dPt>
          <c:dPt>
            <c:idx val="3"/>
            <c:spPr>
              <a:noFill/>
            </c:spPr>
          </c:dPt>
          <c:dPt>
            <c:idx val="4"/>
            <c:spPr>
              <a:noFill/>
            </c:spPr>
          </c:dPt>
          <c:dPt>
            <c:idx val="5"/>
            <c:spPr>
              <a:noFill/>
            </c:spPr>
          </c:dPt>
          <c:dPt>
            <c:idx val="6"/>
            <c:spPr>
              <a:noFill/>
            </c:spPr>
          </c:dPt>
          <c:dPt>
            <c:idx val="7"/>
            <c:spPr>
              <a:noFill/>
            </c:spPr>
          </c:dPt>
          <c:dLbls>
            <c:dLbl>
              <c:idx val="0"/>
              <c:spPr/>
              <c:txPr>
                <a:bodyPr/>
                <a:lstStyle/>
                <a:p>
                  <a:pPr>
                    <a:defRPr b="1">
                      <a:solidFill>
                        <a:schemeClr val="bg1"/>
                      </a:solidFill>
                    </a:defRPr>
                  </a:pPr>
                  <a:endParaRPr lang="zh-CN"/>
                </a:p>
              </c:txPr>
              <c:showVal val="1"/>
            </c:dLbl>
            <c:dLbl>
              <c:idx val="8"/>
              <c:spPr/>
              <c:txPr>
                <a:bodyPr/>
                <a:lstStyle/>
                <a:p>
                  <a:pPr>
                    <a:defRPr b="1">
                      <a:solidFill>
                        <a:schemeClr val="bg1"/>
                      </a:solidFill>
                    </a:defRPr>
                  </a:pPr>
                  <a:endParaRPr lang="zh-CN"/>
                </a:p>
              </c:txPr>
              <c:showVal val="1"/>
            </c:dLbl>
            <c:delete val="1"/>
          </c:dLbls>
          <c:cat>
            <c:strRef>
              <c:f>权重!$P$4:$P$12</c:f>
              <c:strCache>
                <c:ptCount val="9"/>
                <c:pt idx="0">
                  <c:v>Q1得分</c:v>
                </c:pt>
                <c:pt idx="1">
                  <c:v>销售、承保、保全业务线</c:v>
                </c:pt>
                <c:pt idx="2">
                  <c:v>理赔业务线</c:v>
                </c:pt>
                <c:pt idx="3">
                  <c:v>财务管理</c:v>
                </c:pt>
                <c:pt idx="4">
                  <c:v>公司治理业务线</c:v>
                </c:pt>
                <c:pt idx="5">
                  <c:v>准备金、再保险管理</c:v>
                </c:pt>
                <c:pt idx="6">
                  <c:v>声誉风险</c:v>
                </c:pt>
                <c:pt idx="7">
                  <c:v>流动性风险</c:v>
                </c:pt>
                <c:pt idx="8">
                  <c:v>Q2得分</c:v>
                </c:pt>
              </c:strCache>
            </c:strRef>
          </c:cat>
          <c:val>
            <c:numRef>
              <c:f>权重!$Q$4:$Q$12</c:f>
              <c:numCache>
                <c:formatCode>_ * #,##0.00_ ;_ * \-#,##0.00_ ;_ * "-"??_ ;_ @_ </c:formatCode>
                <c:ptCount val="9"/>
                <c:pt idx="0" formatCode="0.0000_);[Red]\(0.0000\)">
                  <c:v>91.84188731991992</c:v>
                </c:pt>
                <c:pt idx="1">
                  <c:v>91.797070838991019</c:v>
                </c:pt>
                <c:pt idx="2">
                  <c:v>91.797070838991019</c:v>
                </c:pt>
                <c:pt idx="3">
                  <c:v>91.819570838991012</c:v>
                </c:pt>
                <c:pt idx="4">
                  <c:v>91.865126394546564</c:v>
                </c:pt>
                <c:pt idx="5">
                  <c:v>91.892904172324336</c:v>
                </c:pt>
                <c:pt idx="6">
                  <c:v>92.00401528343545</c:v>
                </c:pt>
                <c:pt idx="7">
                  <c:v>91.548459727879887</c:v>
                </c:pt>
                <c:pt idx="8" formatCode="0.0000_);[Red]\(0.0000\)">
                  <c:v>91.548459727879887</c:v>
                </c:pt>
              </c:numCache>
            </c:numRef>
          </c:val>
        </c:ser>
        <c:ser>
          <c:idx val="1"/>
          <c:order val="1"/>
          <c:spPr>
            <a:solidFill>
              <a:srgbClr val="92D050"/>
            </a:solidFill>
          </c:spPr>
          <c:dLbls>
            <c:dLbl>
              <c:idx val="0"/>
              <c:delete val="1"/>
            </c:dLbl>
            <c:dLbl>
              <c:idx val="1"/>
              <c:delete val="1"/>
            </c:dLbl>
            <c:dLbl>
              <c:idx val="2"/>
              <c:tx>
                <c:rich>
                  <a:bodyPr/>
                  <a:lstStyle/>
                  <a:p>
                    <a:r>
                      <a:rPr lang="en-US" altLang="en-US"/>
                      <a:t>+0.0225 </a:t>
                    </a:r>
                  </a:p>
                </c:rich>
              </c:tx>
              <c:showVal val="1"/>
            </c:dLbl>
            <c:dLbl>
              <c:idx val="3"/>
              <c:tx>
                <c:rich>
                  <a:bodyPr/>
                  <a:lstStyle/>
                  <a:p>
                    <a:r>
                      <a:rPr lang="en-US" altLang="en-US"/>
                      <a:t>+0.0456 </a:t>
                    </a:r>
                  </a:p>
                </c:rich>
              </c:tx>
              <c:showVal val="1"/>
            </c:dLbl>
            <c:dLbl>
              <c:idx val="4"/>
              <c:tx>
                <c:rich>
                  <a:bodyPr/>
                  <a:lstStyle/>
                  <a:p>
                    <a:r>
                      <a:rPr lang="en-US" altLang="en-US"/>
                      <a:t>+0.0278 </a:t>
                    </a:r>
                  </a:p>
                </c:rich>
              </c:tx>
              <c:showVal val="1"/>
            </c:dLbl>
            <c:dLbl>
              <c:idx val="5"/>
              <c:tx>
                <c:rich>
                  <a:bodyPr/>
                  <a:lstStyle/>
                  <a:p>
                    <a:r>
                      <a:rPr lang="en-US" altLang="en-US"/>
                      <a:t>+0.1111 </a:t>
                    </a:r>
                  </a:p>
                </c:rich>
              </c:tx>
              <c:showVal val="1"/>
            </c:dLbl>
            <c:dLbl>
              <c:idx val="6"/>
              <c:tx>
                <c:rich>
                  <a:bodyPr/>
                  <a:lstStyle/>
                  <a:p>
                    <a:r>
                      <a:rPr lang="en-US" altLang="en-US"/>
                      <a:t>+0.1000 </a:t>
                    </a:r>
                  </a:p>
                </c:rich>
              </c:tx>
              <c:showVal val="1"/>
            </c:dLbl>
            <c:dLbl>
              <c:idx val="7"/>
              <c:delete val="1"/>
            </c:dLbl>
            <c:dLbl>
              <c:idx val="8"/>
              <c:delete val="1"/>
            </c:dLbl>
            <c:txPr>
              <a:bodyPr/>
              <a:lstStyle/>
              <a:p>
                <a:pPr>
                  <a:defRPr b="1"/>
                </a:pPr>
                <a:endParaRPr lang="zh-CN"/>
              </a:p>
            </c:txPr>
            <c:showVal val="1"/>
          </c:dLbls>
          <c:cat>
            <c:strRef>
              <c:f>权重!$P$4:$P$12</c:f>
              <c:strCache>
                <c:ptCount val="9"/>
                <c:pt idx="0">
                  <c:v>Q1得分</c:v>
                </c:pt>
                <c:pt idx="1">
                  <c:v>销售、承保、保全业务线</c:v>
                </c:pt>
                <c:pt idx="2">
                  <c:v>理赔业务线</c:v>
                </c:pt>
                <c:pt idx="3">
                  <c:v>财务管理</c:v>
                </c:pt>
                <c:pt idx="4">
                  <c:v>公司治理业务线</c:v>
                </c:pt>
                <c:pt idx="5">
                  <c:v>准备金、再保险管理</c:v>
                </c:pt>
                <c:pt idx="6">
                  <c:v>声誉风险</c:v>
                </c:pt>
                <c:pt idx="7">
                  <c:v>流动性风险</c:v>
                </c:pt>
                <c:pt idx="8">
                  <c:v>Q2得分</c:v>
                </c:pt>
              </c:strCache>
            </c:strRef>
          </c:cat>
          <c:val>
            <c:numRef>
              <c:f>权重!$R$4:$R$12</c:f>
              <c:numCache>
                <c:formatCode>#,##0.0000_);\(#,##0.0000\)</c:formatCode>
                <c:ptCount val="9"/>
                <c:pt idx="0">
                  <c:v>0</c:v>
                </c:pt>
                <c:pt idx="1">
                  <c:v>0</c:v>
                </c:pt>
                <c:pt idx="2">
                  <c:v>2.2500000000000062E-2</c:v>
                </c:pt>
                <c:pt idx="3">
                  <c:v>4.5555555555555571E-2</c:v>
                </c:pt>
                <c:pt idx="4">
                  <c:v>2.7777777777777776E-2</c:v>
                </c:pt>
                <c:pt idx="5">
                  <c:v>0.1111111111111111</c:v>
                </c:pt>
                <c:pt idx="6">
                  <c:v>0.1</c:v>
                </c:pt>
                <c:pt idx="7">
                  <c:v>0</c:v>
                </c:pt>
                <c:pt idx="8">
                  <c:v>0</c:v>
                </c:pt>
              </c:numCache>
            </c:numRef>
          </c:val>
        </c:ser>
        <c:ser>
          <c:idx val="2"/>
          <c:order val="2"/>
          <c:spPr>
            <a:solidFill>
              <a:schemeClr val="accent6">
                <a:lumMod val="75000"/>
              </a:schemeClr>
            </a:solidFill>
          </c:spPr>
          <c:dLbls>
            <c:dLbl>
              <c:idx val="1"/>
              <c:tx>
                <c:rich>
                  <a:bodyPr/>
                  <a:lstStyle/>
                  <a:p>
                    <a:r>
                      <a:rPr lang="en-US" altLang="en-US"/>
                      <a:t>-0.0448 </a:t>
                    </a:r>
                  </a:p>
                </c:rich>
              </c:tx>
              <c:showVal val="1"/>
            </c:dLbl>
            <c:dLbl>
              <c:idx val="7"/>
              <c:tx>
                <c:rich>
                  <a:bodyPr/>
                  <a:lstStyle/>
                  <a:p>
                    <a:pPr>
                      <a:defRPr b="1"/>
                    </a:pPr>
                    <a:r>
                      <a:rPr lang="en-US" altLang="en-US"/>
                      <a:t>-0.5556 </a:t>
                    </a:r>
                  </a:p>
                </c:rich>
              </c:tx>
              <c:spPr/>
              <c:showVal val="1"/>
            </c:dLbl>
            <c:delete val="1"/>
          </c:dLbls>
          <c:cat>
            <c:strRef>
              <c:f>权重!$P$4:$P$12</c:f>
              <c:strCache>
                <c:ptCount val="9"/>
                <c:pt idx="0">
                  <c:v>Q1得分</c:v>
                </c:pt>
                <c:pt idx="1">
                  <c:v>销售、承保、保全业务线</c:v>
                </c:pt>
                <c:pt idx="2">
                  <c:v>理赔业务线</c:v>
                </c:pt>
                <c:pt idx="3">
                  <c:v>财务管理</c:v>
                </c:pt>
                <c:pt idx="4">
                  <c:v>公司治理业务线</c:v>
                </c:pt>
                <c:pt idx="5">
                  <c:v>准备金、再保险管理</c:v>
                </c:pt>
                <c:pt idx="6">
                  <c:v>声誉风险</c:v>
                </c:pt>
                <c:pt idx="7">
                  <c:v>流动性风险</c:v>
                </c:pt>
                <c:pt idx="8">
                  <c:v>Q2得分</c:v>
                </c:pt>
              </c:strCache>
            </c:strRef>
          </c:cat>
          <c:val>
            <c:numRef>
              <c:f>权重!$S$4:$S$12</c:f>
              <c:numCache>
                <c:formatCode>#,##0.0000_);\(#,##0.0000\)</c:formatCode>
                <c:ptCount val="9"/>
                <c:pt idx="0">
                  <c:v>0</c:v>
                </c:pt>
                <c:pt idx="1">
                  <c:v>4.4816480928898353E-2</c:v>
                </c:pt>
                <c:pt idx="2">
                  <c:v>0</c:v>
                </c:pt>
                <c:pt idx="3">
                  <c:v>0</c:v>
                </c:pt>
                <c:pt idx="4">
                  <c:v>0</c:v>
                </c:pt>
                <c:pt idx="5">
                  <c:v>0</c:v>
                </c:pt>
                <c:pt idx="6">
                  <c:v>0</c:v>
                </c:pt>
                <c:pt idx="7">
                  <c:v>0.55555555555555536</c:v>
                </c:pt>
                <c:pt idx="8">
                  <c:v>0</c:v>
                </c:pt>
              </c:numCache>
            </c:numRef>
          </c:val>
        </c:ser>
        <c:gapWidth val="0"/>
        <c:overlap val="100"/>
        <c:axId val="272257024"/>
        <c:axId val="272258560"/>
      </c:barChart>
      <c:catAx>
        <c:axId val="272257024"/>
        <c:scaling>
          <c:orientation val="minMax"/>
        </c:scaling>
        <c:axPos val="b"/>
        <c:tickLblPos val="nextTo"/>
        <c:crossAx val="272258560"/>
        <c:crosses val="autoZero"/>
        <c:auto val="1"/>
        <c:lblAlgn val="ctr"/>
        <c:lblOffset val="100"/>
      </c:catAx>
      <c:valAx>
        <c:axId val="272258560"/>
        <c:scaling>
          <c:orientation val="minMax"/>
        </c:scaling>
        <c:delete val="1"/>
        <c:axPos val="l"/>
        <c:numFmt formatCode="0.0000_);[Red]\(0.0000\)" sourceLinked="1"/>
        <c:tickLblPos val="nextTo"/>
        <c:crossAx val="272257024"/>
        <c:crosses val="autoZero"/>
        <c:crossBetween val="between"/>
      </c:valAx>
      <c:spPr>
        <a:noFill/>
        <a:ln w="25400">
          <a:noFill/>
        </a:ln>
      </c:spPr>
    </c:plotArea>
    <c:plotVisOnly val="1"/>
  </c:chart>
  <c:spPr>
    <a:noFill/>
  </c:spPr>
  <c:printSettings>
    <c:headerFooter/>
    <c:pageMargins b="0.75000000000000488" l="0.70000000000000062" r="0.70000000000000062" t="0.750000000000004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plotArea>
      <c:layout/>
      <c:pieChart>
        <c:varyColors val="1"/>
        <c:ser>
          <c:idx val="0"/>
          <c:order val="0"/>
          <c:dLbls>
            <c:dLblPos val="bestFit"/>
            <c:showVal val="1"/>
            <c:showLeaderLines val="1"/>
          </c:dLbls>
          <c:cat>
            <c:strRef>
              <c:f>权重!$A$143:$B$148</c:f>
              <c:strCache>
                <c:ptCount val="5"/>
                <c:pt idx="0">
                  <c:v>行业无法确定</c:v>
                </c:pt>
                <c:pt idx="1">
                  <c:v>监管评分</c:v>
                </c:pt>
                <c:pt idx="2">
                  <c:v>操作风险  直接扣分</c:v>
                </c:pt>
                <c:pt idx="3">
                  <c:v>战略风险  直接扣分</c:v>
                </c:pt>
                <c:pt idx="4">
                  <c:v>流动性风险  直接扣分</c:v>
                </c:pt>
              </c:strCache>
            </c:strRef>
          </c:cat>
          <c:val>
            <c:numRef>
              <c:f>权重!$C$143:$C$147</c:f>
              <c:numCache>
                <c:formatCode>_ * #,##0.00_ ;_ * \-#,##0.00_ ;_ * "-"??_ ;_ @_ </c:formatCode>
                <c:ptCount val="5"/>
                <c:pt idx="0">
                  <c:v>3.3861111111111111</c:v>
                </c:pt>
                <c:pt idx="1">
                  <c:v>1.7472222222222222</c:v>
                </c:pt>
                <c:pt idx="2">
                  <c:v>1.3293180498978552</c:v>
                </c:pt>
                <c:pt idx="3">
                  <c:v>0.6</c:v>
                </c:pt>
                <c:pt idx="4">
                  <c:v>1.3888888888888893</c:v>
                </c:pt>
              </c:numCache>
            </c:numRef>
          </c:val>
        </c:ser>
        <c:firstSliceAng val="0"/>
      </c:pieChart>
    </c:plotArea>
    <c:legend>
      <c:legendPos val="r"/>
      <c:layout>
        <c:manualLayout>
          <c:xMode val="edge"/>
          <c:yMode val="edge"/>
          <c:x val="0.57984635347548918"/>
          <c:y val="8.9948823286721269E-2"/>
          <c:w val="0.3801421383931593"/>
          <c:h val="0.83793963254594273"/>
        </c:manualLayout>
      </c:layout>
    </c:legend>
    <c:plotVisOnly val="1"/>
  </c:chart>
  <c:spPr>
    <a:noFill/>
    <a:ln>
      <a:noFill/>
    </a:ln>
  </c:spPr>
  <c:printSettings>
    <c:headerFooter/>
    <c:pageMargins b="0.75000000000000744" l="0.70000000000000062" r="0.70000000000000062" t="0.75000000000000744"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571501</xdr:colOff>
      <xdr:row>1</xdr:row>
      <xdr:rowOff>0</xdr:rowOff>
    </xdr:from>
    <xdr:to>
      <xdr:col>14</xdr:col>
      <xdr:colOff>1</xdr:colOff>
      <xdr:row>19</xdr:row>
      <xdr:rowOff>9525</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146</xdr:row>
      <xdr:rowOff>161924</xdr:rowOff>
    </xdr:from>
    <xdr:to>
      <xdr:col>3</xdr:col>
      <xdr:colOff>0</xdr:colOff>
      <xdr:row>163</xdr:row>
      <xdr:rowOff>95249</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ra%20Y%20Shen/Desktop/&#20108;&#25903;&#26609;/&#20803;&#32032;&#28165;&#21333;/IRR&#20803;&#32032;&#28165;&#21333;-06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ora%20Y%20Shen/Desktop/YUE-IRR&#20803;&#32032;&#28165;&#21333;-062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封面"/>
      <sheetName val="Database-指标数据类型"/>
      <sheetName val="Database-下拉框"/>
      <sheetName val="Database-分值计算"/>
      <sheetName val="OR01-产险销售"/>
      <sheetName val="OR02-寿险销售"/>
      <sheetName val="OR03-分支产险销售"/>
      <sheetName val="OR04-分支寿险销售"/>
      <sheetName val="OR05-产险理赔"/>
      <sheetName val="Database-参数列表"/>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sheetData sheetId="1"/>
      <sheetData sheetId="2">
        <row r="2">
          <cell r="B2" t="str">
            <v>是</v>
          </cell>
        </row>
        <row r="3">
          <cell r="B3" t="str">
            <v>否</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封面"/>
      <sheetName val="Database-指标数据类型"/>
      <sheetName val="Database-下拉框"/>
      <sheetName val="Database-分值计算"/>
      <sheetName val="Database-参数列表"/>
      <sheetName val="OR01-产险销售"/>
      <sheetName val="OR02-寿险销售"/>
      <sheetName val="OR03-分支产险销售"/>
      <sheetName val="OR04-分支寿险销售"/>
      <sheetName val="OR05-产险理赔"/>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row r="4">
          <cell r="B4" t="str">
            <v>人身险公司</v>
          </cell>
        </row>
        <row r="25">
          <cell r="B25" t="str">
            <v>否</v>
          </cell>
        </row>
      </sheetData>
      <sheetData sheetId="1"/>
      <sheetData sheetId="2">
        <row r="2">
          <cell r="B2" t="str">
            <v>是</v>
          </cell>
        </row>
        <row r="4">
          <cell r="B4" t="str">
            <v>1|销售人员管理体系完善，制定和实施了详细的培训计划</v>
          </cell>
        </row>
        <row r="5">
          <cell r="B5" t="str">
            <v>2|销售人员管理体系完善，未制定和实施详细的培训计划</v>
          </cell>
        </row>
        <row r="6">
          <cell r="B6" t="str">
            <v>3|销售人员管理体系不完善，未制定和实施详细的培训计划</v>
          </cell>
        </row>
        <row r="7">
          <cell r="B7" t="str">
            <v>1|保险公司明确了核保人员资质条件，定期举行核保人员上岗资格考试</v>
          </cell>
        </row>
        <row r="8">
          <cell r="B8" t="str">
            <v>2|保险公司明确了核保人员资质条件，未举行核保人员上岗资格考试</v>
          </cell>
        </row>
        <row r="9">
          <cell r="B9" t="str">
            <v>3|保险公司未明确核保人员资质条件，不举行核保人员上岗资格考试，不开展核保人员培训</v>
          </cell>
        </row>
        <row r="10">
          <cell r="B10" t="str">
            <v>1|保险公司核保分级授权清晰，明确了核保人员授权标准且定期更新，核保授权固化到系统</v>
          </cell>
        </row>
        <row r="11">
          <cell r="B11" t="str">
            <v>2|保险公司有核保分级授权，但不够完善，对核保人员核保授权未固化到系统</v>
          </cell>
        </row>
        <row r="12">
          <cell r="B12" t="str">
            <v>3|保险公司未明确核保人员资质条件，不举行核保人员上岗资格考试，不开展核保人员培训</v>
          </cell>
        </row>
        <row r="13">
          <cell r="B13" t="str">
            <v>1|对需审批的保险条款和费率，均经保险会批准后使用</v>
          </cell>
        </row>
        <row r="14">
          <cell r="B14" t="str">
            <v>2|对需审批的保险条款和费率，未经保险会批准使用</v>
          </cell>
        </row>
        <row r="15">
          <cell r="B15" t="str">
            <v>1|对不需审批的保险条款和费率，均在使用后十个工作内报保监会备案</v>
          </cell>
        </row>
        <row r="16">
          <cell r="B16" t="str">
            <v>2|对不需审批的保险条款和费率，未在使用后十个工作内报保监会备案</v>
          </cell>
        </row>
        <row r="17">
          <cell r="B17" t="str">
            <v>1|严格执行经保监会批准或备案的保险条款和费率</v>
          </cell>
        </row>
        <row r="18">
          <cell r="B18" t="str">
            <v>2|未严格执行经保监会批准或备案的保险条款和费率，擅自改变条款或费率</v>
          </cell>
        </row>
        <row r="19">
          <cell r="B19" t="str">
            <v>1|制定符合产品特点的应收保费管理细则</v>
          </cell>
        </row>
        <row r="20">
          <cell r="B20" t="str">
            <v>2|未制定符合产品特点的应收保费管理细则</v>
          </cell>
        </row>
        <row r="21">
          <cell r="B21" t="str">
            <v>1|根据应收保费管理细则实施应收保费的日常管理，监控应收保费余额、增速、账龄、应收率等指标</v>
          </cell>
        </row>
        <row r="22">
          <cell r="B22" t="str">
            <v>2|未根据应收保费管理细则实施应收保费的日常管理，监控应收保费余额、增速、账龄、应收率等指标</v>
          </cell>
        </row>
        <row r="23">
          <cell r="B23" t="str">
            <v>1|对应收账龄超过3个月的应收保费开展催收（不包括单笔金额小于1万元应收保费）</v>
          </cell>
        </row>
        <row r="24">
          <cell r="B24" t="str">
            <v>2|未对应收账龄超过3个月的应收保费开展催收（不包括单笔金额小于1万元应收保费）</v>
          </cell>
        </row>
        <row r="25">
          <cell r="B25" t="str">
            <v>1|总公司开展应收保费考核</v>
          </cell>
        </row>
        <row r="26">
          <cell r="B26" t="str">
            <v>2|总公司未开展应收保费考核</v>
          </cell>
        </row>
        <row r="27">
          <cell r="B27" t="str">
            <v>1|未出现利用广告后其他宣传方式对保险条款内容和服务质量等做引人误解的宣传的情况</v>
          </cell>
        </row>
        <row r="28">
          <cell r="B28" t="str">
            <v>2|利用广告后其他宣传方式对保险条款内容和服务质量等做引人误解的宣传</v>
          </cell>
        </row>
        <row r="29">
          <cell r="B29" t="str">
            <v>1|未出现销售活动中阻碍消费者履行如实告知义务或诱导其不履行如实告知义务的情况</v>
          </cell>
        </row>
        <row r="30">
          <cell r="B30" t="str">
            <v>2|销售活动中阻碍消费者履行如实告知义务或诱导其不履行如实告知义务</v>
          </cell>
        </row>
        <row r="31">
          <cell r="B31" t="str">
            <v>1|未出现夸大保险产品保障的情况</v>
          </cell>
        </row>
        <row r="32">
          <cell r="B32" t="str">
            <v>2|夸大保险产品保障</v>
          </cell>
        </row>
        <row r="33">
          <cell r="B33" t="str">
            <v>1|未出现隐瞒合同重要内容，如免责、退保等内容的情况</v>
          </cell>
        </row>
        <row r="34">
          <cell r="B34" t="str">
            <v>2|隐瞒合同重要内容，如免责、退保等内容</v>
          </cell>
        </row>
        <row r="35">
          <cell r="B35" t="str">
            <v>1|未出现提供虚假产品信息的情况</v>
          </cell>
        </row>
        <row r="36">
          <cell r="B36" t="str">
            <v>2|提供虚假产品信息</v>
          </cell>
        </row>
        <row r="37">
          <cell r="B37" t="str">
            <v>1|保险公司档案管理制度完善，承保档案保管范围、期限符合规定，保单按流水号装订，附件齐全，相关单证资料及时归档，集中管理，完整妥善保管</v>
          </cell>
        </row>
        <row r="38">
          <cell r="B38" t="str">
            <v>2|保险公司建立了档案管理制度，承保档案保管、装订、归档符合规定，但承保档案未集中管理</v>
          </cell>
        </row>
        <row r="39">
          <cell r="B39" t="str">
            <v>3|保险公司未建立承保业务档案管理制度，或存在承保档案不全或遗失的情况</v>
          </cell>
        </row>
        <row r="40">
          <cell r="B40" t="str">
            <v>1|新险种未及时实现承保业务信息系统管理</v>
          </cell>
        </row>
        <row r="41">
          <cell r="B41" t="str">
            <v>2|新险种及时实现承保业务信息系统管理</v>
          </cell>
        </row>
        <row r="42">
          <cell r="B42" t="str">
            <v>1|新险种未及时实现承保业务统计分析系统管理</v>
          </cell>
        </row>
        <row r="43">
          <cell r="B43" t="str">
            <v>2|新险种及时实现承保业务统计分析系统管理</v>
          </cell>
        </row>
        <row r="44">
          <cell r="B44" t="str">
            <v>1|承保业务系统未实现与再保、财务系统无缝对接</v>
          </cell>
        </row>
        <row r="45">
          <cell r="B45" t="str">
            <v>2|承保业务系统实现与再保、财务系统无缝对接</v>
          </cell>
        </row>
        <row r="46">
          <cell r="B46"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row>
        <row r="47">
          <cell r="B47"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row>
        <row r="48">
          <cell r="B48" t="str">
            <v>3|保险公司未建立销售管理系统</v>
          </cell>
        </row>
        <row r="49">
          <cell r="B49"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row>
        <row r="50">
          <cell r="B50" t="str">
            <v>2|保险公司在承保业务系统中，对客户信息和保险标的信息的核心内容、投保险种、保险金额、保费金额、保险费率、责任限额、信用限额（信用险）、被保险人申报的交易（信用险）、保险期间等关键承保信息，部分设置为必录项</v>
          </cell>
        </row>
        <row r="51">
          <cell r="B51" t="str">
            <v>3|保险公司在承保业务系统中未对关键承保信息设置为必录项，系统中数据记录不完整、不真实</v>
          </cell>
        </row>
        <row r="52">
          <cell r="B52" t="str">
            <v>1|保险公司农业保险承保到户，并能够根据需要提供保险单或保险凭证</v>
          </cell>
        </row>
        <row r="53">
          <cell r="B53" t="str">
            <v>2|其他情况</v>
          </cell>
        </row>
        <row r="54">
          <cell r="B54" t="str">
            <v>1|全部采用银（邮）保通系统出单</v>
          </cell>
        </row>
        <row r="55">
          <cell r="B55" t="str">
            <v>2|未全部采用银（邮）保通系统出单</v>
          </cell>
        </row>
        <row r="56">
          <cell r="B56" t="str">
            <v>1|意外险出单系统不存在未与核心业务系统实时对接的问题</v>
          </cell>
        </row>
        <row r="57">
          <cell r="B57" t="str">
            <v>2|意外险出单系统存在未与核心业务系统实时对接的问题</v>
          </cell>
        </row>
        <row r="58">
          <cell r="B58" t="str">
            <v>1|核心业务系统完整记录意外险保单信息内容</v>
          </cell>
        </row>
        <row r="59">
          <cell r="B59" t="str">
            <v>2|核心业务系统未完整记录意外险保单信息内容</v>
          </cell>
        </row>
        <row r="60">
          <cell r="B60" t="str">
            <v>1|不具备完整性控制功能</v>
          </cell>
        </row>
        <row r="61">
          <cell r="B61" t="str">
            <v>2|具备完整性控制功能，但功能不完备</v>
          </cell>
        </row>
        <row r="62">
          <cell r="B62" t="str">
            <v>3|具备完整性控制功能，且功能完备</v>
          </cell>
        </row>
        <row r="63">
          <cell r="B63" t="str">
            <v>1|不具备完整性控制功能</v>
          </cell>
        </row>
        <row r="64">
          <cell r="B64" t="str">
            <v>2|具备完整性控制功能，但功能不完备</v>
          </cell>
        </row>
        <row r="65">
          <cell r="B65" t="str">
            <v>3|具备完整性控制功能，且功能完备</v>
          </cell>
        </row>
        <row r="66">
          <cell r="B66" t="str">
            <v>1|佣金和手续费由总公司通过银行转账等非现金方式集中支付</v>
          </cell>
        </row>
        <row r="67">
          <cell r="B67" t="str">
            <v>2|佣金和手续费由省级分公司通过银行转账等非现金方式集中支付</v>
          </cell>
        </row>
        <row r="68">
          <cell r="B68" t="str">
            <v>3|其他</v>
          </cell>
        </row>
        <row r="69">
          <cell r="B69" t="str">
            <v>1|全部业务均由省公司及以上机构集中核保</v>
          </cell>
        </row>
        <row r="70">
          <cell r="B70" t="str">
            <v>2|中支机构具有核保权限，且支公司及以下分支机构不具有核保权限</v>
          </cell>
        </row>
        <row r="71">
          <cell r="B71" t="str">
            <v>3|支公司及以下分支机构具有核保权限</v>
          </cell>
        </row>
        <row r="72">
          <cell r="B72" t="str">
            <v>1|将操作风险纳入省级分公司和中心支公司销售、承保、保全部门负责人考核体系</v>
          </cell>
        </row>
        <row r="73">
          <cell r="B73" t="str">
            <v>2|未将操作风险纳入省级分公司和中心支公司销售、承保、保全部门负责人考核体系</v>
          </cell>
        </row>
        <row r="74">
          <cell r="B74" t="str">
            <v>1|公司建立了保险标的核验和风险评估制度，并能严格按制度规定展开核验</v>
          </cell>
        </row>
        <row r="75">
          <cell r="B75" t="str">
            <v>2|其他情况</v>
          </cell>
        </row>
        <row r="76">
          <cell r="B76" t="str">
            <v>1|评估期，涉及保费批减、退保的资金未发生支付至投保人、被保险人或取得相应授权的合法第三方以外情况</v>
          </cell>
        </row>
        <row r="77">
          <cell r="B77" t="str">
            <v>2|评估期，涉及保费批减、退保的资金发生支付至投保人、被保险人或取得相应授权的合法第三方以外情况</v>
          </cell>
        </row>
        <row r="78">
          <cell r="B78" t="str">
            <v>1|评估期各业务条线佣金及手续费均通过系统跟单自动计提</v>
          </cell>
        </row>
        <row r="79">
          <cell r="B79" t="str">
            <v>2|其他情况</v>
          </cell>
        </row>
        <row r="80">
          <cell r="B80" t="str">
            <v>1|将操作风险纳入省级分公司和中心支公司销售、承保、保全部门负责人考核体系</v>
          </cell>
        </row>
        <row r="81">
          <cell r="B81" t="str">
            <v>2|未将操作风险纳入省级分公司和中心支公司销售、承保、保全部门负责人考核体系</v>
          </cell>
        </row>
        <row r="82">
          <cell r="B82" t="str">
            <v>1|公司建立了保险标的生调、体检等核验和风险评估制度，并能严格按制度规定展开核验</v>
          </cell>
        </row>
        <row r="83">
          <cell r="B83" t="str">
            <v>2|其他情况</v>
          </cell>
        </row>
        <row r="84">
          <cell r="B84" t="str">
            <v>1|评估期，保单质押贷款均通过银行转账支付至投保人银行账户</v>
          </cell>
        </row>
        <row r="85">
          <cell r="B85" t="str">
            <v>2|其他情况</v>
          </cell>
        </row>
        <row r="86">
          <cell r="B86" t="str">
            <v>1|评估期各业务条线佣金及手续费均通过系统跟单自动计提</v>
          </cell>
        </row>
        <row r="87">
          <cell r="B87" t="str">
            <v>2|其他情况</v>
          </cell>
        </row>
        <row r="88">
          <cell r="B88"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row>
        <row r="89">
          <cell r="B89"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row>
        <row r="90">
          <cell r="B90" t="str">
            <v>3|其他</v>
          </cell>
        </row>
        <row r="91">
          <cell r="B91" t="str">
            <v>1|理赔流程中的特殊环节由总公司集中管理，并制定统一的管理流程，其中农业保险报案由省级分公司或总公司集中受理</v>
          </cell>
        </row>
        <row r="92">
          <cell r="B92" t="str">
            <v>2|其他</v>
          </cell>
        </row>
        <row r="93">
          <cell r="B93" t="str">
            <v>1|理赔系统中开发独立的反欺诈模块</v>
          </cell>
        </row>
        <row r="94">
          <cell r="B94" t="str">
            <v>2|未开发独立系统模块，但建立了独立的反欺诈机制</v>
          </cell>
        </row>
        <row r="95">
          <cell r="B95" t="str">
            <v>3|其他</v>
          </cell>
        </row>
        <row r="96">
          <cell r="B96" t="str">
            <v>1|保险公司建立农业保险内部稽核制度，根据《农业保险条例》、有关监管规定以及公司内控制度，定期对分支机构农业保险业务进行核查，并将核查结果及时报告保险监管部门</v>
          </cell>
        </row>
        <row r="97">
          <cell r="B97" t="str">
            <v>2|保险公司建立了农业保险内部稽核制度，定期对分支机构农业保险业务进行核查，但未将核查结果及时报告保险监管部门</v>
          </cell>
        </row>
        <row r="98">
          <cell r="B98" t="str">
            <v>3|保险公司建立了农业保险内部稽核制度，但未对分支机构农业保险业务进行核查</v>
          </cell>
        </row>
        <row r="99">
          <cell r="B99" t="str">
            <v>4|保险公司未建立农业保险内部稽核制度</v>
          </cell>
        </row>
        <row r="100">
          <cell r="B100" t="str">
            <v>1|省级分公司和中心支公司理赔部门负责人的业绩考核与操作风险相挂钩</v>
          </cell>
        </row>
        <row r="101">
          <cell r="B101" t="str">
            <v>2|省级分公司和中心支公司理赔部门负责人的业绩考核与操作风险未挂钩</v>
          </cell>
        </row>
        <row r="102">
          <cell r="B102" t="str">
            <v>1|公司对分支机构实行分类授权理赔管理，根据赔案类型，理赔工作环节，分支机构经营管理水平、风险控制能力及服务需求，理赔人员专业技能、考试评级结果等因素，明确各级机构或人员定损权限及核赔权限</v>
          </cell>
        </row>
        <row r="103">
          <cell r="B103" t="str">
            <v>2|其他情况</v>
          </cell>
        </row>
        <row r="104">
          <cell r="B104" t="str">
            <v>1|公司理赔信息系统设置了反欺诈识别提醒功能，对出险时间与起保或终止时间接近、保险年度内索赔次数异常等情况进行提示的，对重点领域和环节设立欺诈案件和可疑赔案筛查功能</v>
          </cell>
        </row>
        <row r="105">
          <cell r="B105" t="str">
            <v>2|其他情况</v>
          </cell>
        </row>
        <row r="106">
          <cell r="B106" t="str">
            <v>1|公司理赔信息系统与接报案系统对接，理赔信息系统中报案时间由接报案系统直接导入，报案时间无法手工修改</v>
          </cell>
        </row>
        <row r="107">
          <cell r="B107" t="str">
            <v>2|其他情况</v>
          </cell>
        </row>
        <row r="108">
          <cell r="B108" t="str">
            <v>1|省级分公司和中心支公司理赔部门负责人的业绩考核与操作风险相挂钩</v>
          </cell>
        </row>
        <row r="109">
          <cell r="B109" t="str">
            <v>2|省级分公司和中心支公司理赔部门负责人的业绩考核与操作风险未挂钩</v>
          </cell>
        </row>
        <row r="110">
          <cell r="B110" t="str">
            <v>1|公司理赔信息系统设置了反欺诈识别提醒功能，对出险时间与起保或终止时间接近、保险年度内索赔次数异常等情况进行提示的，对重点领域和环节设立欺诈案件和可疑赔案筛查功能</v>
          </cell>
        </row>
        <row r="111">
          <cell r="B111" t="str">
            <v>2|其他情况</v>
          </cell>
        </row>
        <row r="112">
          <cell r="B112" t="str">
            <v>1|公司理赔信息系统与接报案系统对接，理赔信息系统中报案时间由接报案系统直接导入，报案时间无法手工修改</v>
          </cell>
        </row>
        <row r="113">
          <cell r="B113" t="str">
            <v>2|其他情况</v>
          </cell>
        </row>
        <row r="114">
          <cell r="B114" t="str">
            <v>1|评价期内，保险公司设立了独立的再保险管理部门，部门工作定位准确、内部岗位职责清晰、工作流程及权限设置明确</v>
          </cell>
        </row>
        <row r="115">
          <cell r="B115" t="str">
            <v>2|评价期内，保险公司未设立独立的再保险管理部门，但公司内部再保险业务相关岗位职责定位准确，再保险业务流程清晰和岗位权限明确</v>
          </cell>
        </row>
        <row r="116">
          <cell r="B116" t="str">
            <v>3|其他</v>
          </cell>
        </row>
        <row r="117">
          <cell r="B117" t="str">
            <v>1|评价期内，保险公司的再保险分入业务的核保、核赔、会计处理及财务结算由总公司职能部门统一办理，明确规定分支机构不得办理再保险分入业务的核保、核赔、会计处理及财务结算</v>
          </cell>
        </row>
        <row r="118">
          <cell r="B118" t="str">
            <v>2|评价期内，保险公司的再保险分入业务的核保、核赔、会计处理及财务结算不是由总公司职能部门统一办理，未明确规定分支机构不得办理再保险分入业务的核保、核赔、会计处理及财务结算</v>
          </cell>
        </row>
        <row r="119">
          <cell r="B119" t="str">
            <v>1|评价期内，保险公司在符合监管要求的基础上，制定再保险接受人及经纪人资信管理办法并遵照执行，建立再保险接受人及再保险经纪人资信安全清单，并动态更新、跟踪及管理，信息与再保险登记系统同步</v>
          </cell>
        </row>
        <row r="120">
          <cell r="B120" t="str">
            <v>2|评价期内，保险公司未在符合监管要求的基础上，制定再保险接受人及经纪人资信管理办法并遵照执行，建立再保险接受人及再保险经纪人资信安全清单，并动态更新、跟踪及管理，信息与再保险登记系统同步</v>
          </cell>
        </row>
        <row r="121">
          <cell r="B121" t="str">
            <v>1|评价期内，保险公司根据监管规定及内部管理要求，结合实际情况，建立了再保险接受人信用风险突发应急预案</v>
          </cell>
        </row>
        <row r="122">
          <cell r="B122" t="str">
            <v>2|评价期内，保险公司未根据监管规定及内部管理要求，结合实际情况，建立再保险接受人信用风险突发应急预案</v>
          </cell>
        </row>
        <row r="123">
          <cell r="B123" t="str">
            <v>1|评价期内，保险公司需续保的再保合约业务，在到期日之前必须完成下一年度合约安排。或者，合约双方另有约定的，必须在双方约定日期前完成</v>
          </cell>
        </row>
        <row r="124">
          <cell r="B124" t="str">
            <v>2|评价期内，保险公司需续保的再保合约业务，未在到期日前完成下一年度合约安排。合约双方另有约定的，未在双方约定日期前完成</v>
          </cell>
        </row>
        <row r="125">
          <cell r="B125" t="str">
            <v>1|评价期内，保险公司建立再保险应收应付款项的管理机制，包括相关管理制度及执行</v>
          </cell>
        </row>
        <row r="126">
          <cell r="B126" t="str">
            <v>2|评价期内，保险公司未建立再保险应收应付款项的管理机制，包括相关管理制度及执行</v>
          </cell>
        </row>
        <row r="127">
          <cell r="B127" t="str">
            <v>1|保险公司每一危险单位自留风符合相关法律法规管理规定</v>
          </cell>
        </row>
        <row r="128">
          <cell r="B128" t="str">
            <v>2|保险公司每一危险单位自留风险不符合相关法律法规管理规定</v>
          </cell>
        </row>
        <row r="129">
          <cell r="B129" t="str">
            <v>1|保险公司每一危险单位自留风险符合公司内部管理规定</v>
          </cell>
        </row>
        <row r="130">
          <cell r="B130" t="str">
            <v>2|保险公司每一危险单位自留风险不符合公司内部管理规定</v>
          </cell>
        </row>
        <row r="131">
          <cell r="B131" t="str">
            <v>1|再保险系统与业务、财务系统无缝链接，实现数据同步更新</v>
          </cell>
        </row>
        <row r="132">
          <cell r="B132" t="str">
            <v>2|再保险系统未能与业务、财务系统无缝链接，未能实现数据同步更新</v>
          </cell>
        </row>
        <row r="133">
          <cell r="B133" t="str">
            <v>1|IT系统模块包括合约、临分、分入、分出、账务、再保人管理等功能，系统功能齐全</v>
          </cell>
        </row>
        <row r="134">
          <cell r="B134" t="str">
            <v>2|IT系统模块不包括合约、临分、分入、分出、账务、再保人管理等功能，系统功能不齐全</v>
          </cell>
        </row>
        <row r="135">
          <cell r="B135" t="str">
            <v>1|保险公司IT系统可统计保监会要求上报的各类再保险数据报表</v>
          </cell>
        </row>
        <row r="136">
          <cell r="B136" t="str">
            <v>2|保险公司IT系统不能统计保监会要求上报的各类再保险数据报表</v>
          </cell>
        </row>
        <row r="137">
          <cell r="B137" t="str">
            <v>1|再保险IT系统权限管理明晰，核保和再保、经办和复核岗位权限区分明确</v>
          </cell>
        </row>
        <row r="138">
          <cell r="B138" t="str">
            <v>2|再保险IT系统权限管理不明晰，核保和再保、经办和复核岗位权限区分不明确</v>
          </cell>
        </row>
        <row r="139">
          <cell r="B139" t="str">
            <v>1|再保系统可在1个账单周期内及时更新核保、理赔、批改等信息，并具有保留修改痕迹，查询修改人和修改时间的功能，账单操作时点和对应原始数据具有留存功能</v>
          </cell>
        </row>
        <row r="140">
          <cell r="B140" t="str">
            <v>2|再保系统不能在1个账单周期内及时更新核保、理赔、批改等信息，不具有保留修改痕迹，不能查询修改人和修改时间的功能，账单操作时点和对应原始数据不具有留存功能</v>
          </cell>
        </row>
        <row r="141">
          <cell r="B141" t="str">
            <v>1|保险公司采用合理方法提取未到期准备金，并进行充足性测试，且充足性测试过程的假设与未决赔款准备金评估以及业务发展趋势一致</v>
          </cell>
        </row>
        <row r="142">
          <cell r="B142" t="str">
            <v>2|保险公司采用合理方法提取未到期准备金，并进行充足性测试，但充足性测试假设与未决评估及业务发展趋势存在差异</v>
          </cell>
        </row>
        <row r="143">
          <cell r="B143" t="str">
            <v>3|其他</v>
          </cell>
        </row>
        <row r="144">
          <cell r="B144" t="str">
            <v>1|保险公司对于已发生未报案未决赔款准备金采用两种以上方法评估，并进行合理性检验</v>
          </cell>
        </row>
        <row r="145">
          <cell r="B145" t="str">
            <v>2|保险公司对于已发生未报案未决赔款准备金采用两种方法评估，未进行合理性检验</v>
          </cell>
        </row>
        <row r="146">
          <cell r="B146" t="str">
            <v>3|其他</v>
          </cell>
        </row>
        <row r="147">
          <cell r="B147" t="str">
            <v>1|保险公司分别建立再保分出前和再保分出后的赔付流量三角形，对分保未决赔款准备金进行评估</v>
          </cell>
        </row>
        <row r="148">
          <cell r="B148" t="str">
            <v>2|其他</v>
          </cell>
        </row>
        <row r="149">
          <cell r="B149" t="str">
            <v>1|保险公司准备金核算过程中与财务现有的科目核算无重复或遗漏，精算结果与财务结果有差异时，定期及时更新</v>
          </cell>
        </row>
        <row r="150">
          <cell r="B150" t="str">
            <v>2|其他</v>
          </cell>
        </row>
        <row r="151">
          <cell r="B151" t="str">
            <v>1|保险公司准备金核算过程中总部不直接做业务时，未计提准备金，即无冗余</v>
          </cell>
        </row>
        <row r="152">
          <cell r="B152" t="str">
            <v>2|其他</v>
          </cell>
        </row>
        <row r="153">
          <cell r="B153" t="str">
            <v>1|底稿内容不完整</v>
          </cell>
        </row>
        <row r="154">
          <cell r="B154" t="str">
            <v>2|底稿内容完整</v>
          </cell>
        </row>
        <row r="155">
          <cell r="B155" t="str">
            <v>1|编制频率低于每半年一次</v>
          </cell>
        </row>
        <row r="156">
          <cell r="B156" t="str">
            <v>2|编制频率不低于每半年一次</v>
          </cell>
        </row>
        <row r="157">
          <cell r="B157" t="str">
            <v>1|未有效复核</v>
          </cell>
        </row>
        <row r="158">
          <cell r="B158" t="str">
            <v>2|有效复核</v>
          </cell>
        </row>
        <row r="159">
          <cell r="B159" t="str">
            <v>1|未有效留存或备份</v>
          </cell>
        </row>
        <row r="160">
          <cell r="B160" t="str">
            <v>2|有效留存或备份</v>
          </cell>
        </row>
        <row r="161">
          <cell r="B161" t="str">
            <v>1|保险公司针对准备金管理建立了完善的管理流程与管理制度</v>
          </cell>
        </row>
        <row r="162">
          <cell r="B162" t="str">
            <v>2|保险公司针对准备金管理建立了较为完善的管理流程与管理制度</v>
          </cell>
        </row>
        <row r="163">
          <cell r="B163" t="str">
            <v>3|保险公司针对准备金管理建立了管理流程与管理制度，但是有待进一步完善</v>
          </cell>
        </row>
        <row r="164">
          <cell r="B164" t="str">
            <v>1|最近4个季度内资产管理部门负责人未因违法违规受到行政处罚</v>
          </cell>
        </row>
        <row r="165">
          <cell r="B165" t="str">
            <v>2|最近4个季度内资产管理部门负责人因违法违规受到行政处罚</v>
          </cell>
        </row>
        <row r="166">
          <cell r="B166" t="str">
            <v>1|资产管理部门在投资研究、资产清算或托管、风险控制、业绩评估、相关保障等环节设置岗位</v>
          </cell>
        </row>
        <row r="167">
          <cell r="B167" t="str">
            <v>2|资产管理部门未在投资研究、资产清算、托管、风险控制、业绩评估、相关保障等环节设置岗位</v>
          </cell>
        </row>
        <row r="168">
          <cell r="B168" t="str">
            <v>3|不适用</v>
          </cell>
        </row>
        <row r="169">
          <cell r="B169" t="str">
            <v>1|资产管理部门除在投资研究、资产清算或托管、风险控制、业绩评估、相关保障等环节设置岗位外，还设置投资、交易等与资金运用业务直接相关的岗位</v>
          </cell>
        </row>
        <row r="170">
          <cell r="B170" t="str">
            <v>2|资产管理部门未在投资研究、资产清算或托管、风险控制、业绩评估、相关保障等环节设置岗位，也未设置投资、交易等与资金运用业务直接相关的岗位</v>
          </cell>
        </row>
        <row r="171">
          <cell r="B171" t="str">
            <v>3|不适用</v>
          </cell>
        </row>
        <row r="172">
          <cell r="B172" t="str">
            <v>1|对投研人员无激励机制或激励机制只与短期（一年及以内）业绩挂钩</v>
          </cell>
        </row>
        <row r="173">
          <cell r="B173" t="str">
            <v>2|对投研人员的激励机制与长期（一年以上）业绩挂钩</v>
          </cell>
        </row>
        <row r="174">
          <cell r="B174" t="str">
            <v>3|不适用</v>
          </cell>
        </row>
        <row r="175">
          <cell r="B175" t="str">
            <v>1|能够提供受托机构相关证明材料</v>
          </cell>
        </row>
        <row r="176">
          <cell r="B176" t="str">
            <v>2|不能提供受托机构相关证明材料</v>
          </cell>
        </row>
        <row r="177">
          <cell r="B177" t="str">
            <v>3|不适用</v>
          </cell>
        </row>
        <row r="178">
          <cell r="B178" t="str">
            <v>1|资金运用风险管理人员激励机制不直接与投资业绩挂钩</v>
          </cell>
        </row>
        <row r="179">
          <cell r="B179" t="str">
            <v>2|资金运用风险管理人员激励机制直接与投资业绩挂钩</v>
          </cell>
        </row>
        <row r="180">
          <cell r="B180" t="str">
            <v>3|不适用</v>
          </cell>
        </row>
        <row r="181">
          <cell r="B181" t="str">
            <v>1|能够提供受托机构相关证明材料</v>
          </cell>
        </row>
        <row r="182">
          <cell r="B182" t="str">
            <v>2|不能够提供受托机构相关证明材料</v>
          </cell>
        </row>
        <row r="183">
          <cell r="B183" t="str">
            <v>3|不适用</v>
          </cell>
        </row>
        <row r="184">
          <cell r="B184" t="str">
            <v>1|业绩考核与操作风险挂钩</v>
          </cell>
        </row>
        <row r="185">
          <cell r="B185" t="str">
            <v>2|业绩考核不与操作风险挂钩</v>
          </cell>
        </row>
        <row r="186">
          <cell r="B186" t="str">
            <v>3|不适用</v>
          </cell>
        </row>
        <row r="187">
          <cell r="B187" t="str">
            <v>1|能够提供受托机构相关证明材料</v>
          </cell>
        </row>
        <row r="188">
          <cell r="B188" t="str">
            <v>2|不能提供受托机构相关证明材料</v>
          </cell>
        </row>
        <row r="189">
          <cell r="B189" t="str">
            <v>3|不适用</v>
          </cell>
        </row>
        <row r="190">
          <cell r="B190" t="str">
            <v>1|建立资金运用操作风险数据库且如实记录操作风险事件</v>
          </cell>
        </row>
        <row r="191">
          <cell r="B191" t="str">
            <v>2|未建立资金运用操作风险数据库或未如实记录操作风险事件</v>
          </cell>
        </row>
        <row r="192">
          <cell r="B192" t="str">
            <v>1|保险公司委托投资的，全部建立相关制度</v>
          </cell>
        </row>
        <row r="193">
          <cell r="B193" t="str">
            <v>2|保险公司委托投资的，未全部建立相关制度</v>
          </cell>
        </row>
        <row r="194">
          <cell r="B194" t="str">
            <v>3|保险公司未开展委托投资</v>
          </cell>
        </row>
        <row r="195">
          <cell r="B195" t="str">
            <v>1|委托投资指引达到要求</v>
          </cell>
        </row>
        <row r="196">
          <cell r="B196" t="str">
            <v>2|委托投资指引未达到要求</v>
          </cell>
        </row>
        <row r="197">
          <cell r="B197" t="str">
            <v>3|保险公司未开展委托投资</v>
          </cell>
        </row>
        <row r="198">
          <cell r="B198" t="str">
            <v>1|最近4个季度内对全部投资管理人评估大于1次</v>
          </cell>
        </row>
        <row r="199">
          <cell r="B199" t="str">
            <v>2|最近4个季度内只对部分投资管理人进行评估</v>
          </cell>
        </row>
        <row r="200">
          <cell r="B200" t="str">
            <v>3|最近4个季度内未对投资管理人进行评估</v>
          </cell>
        </row>
        <row r="201">
          <cell r="B201" t="str">
            <v>4|保险公司未开展委托投资</v>
          </cell>
        </row>
        <row r="202">
          <cell r="B202" t="str">
            <v>1|资产配置压力测试达到要求</v>
          </cell>
        </row>
        <row r="203">
          <cell r="B203" t="str">
            <v>2|资产配置压力测试未达到要求</v>
          </cell>
        </row>
        <row r="204">
          <cell r="B204" t="str">
            <v>1|资产配置分账户管理达到要求</v>
          </cell>
        </row>
        <row r="205">
          <cell r="B205" t="str">
            <v>2|资产配置分账户管理未达到要求</v>
          </cell>
        </row>
        <row r="206">
          <cell r="B206" t="str">
            <v>3|不适用</v>
          </cell>
        </row>
        <row r="207">
          <cell r="B207" t="str">
            <v>1|能够提供受托机构相关证明材料</v>
          </cell>
        </row>
        <row r="208">
          <cell r="B208" t="str">
            <v>2|不能提供受托机构相关证明材料</v>
          </cell>
        </row>
        <row r="209">
          <cell r="B209" t="str">
            <v>3|不适用</v>
          </cell>
        </row>
        <row r="210">
          <cell r="B210" t="str">
            <v>1|全部投资资产实施托管</v>
          </cell>
        </row>
        <row r="211">
          <cell r="B211" t="str">
            <v>2|投资资产部分托管</v>
          </cell>
        </row>
        <row r="212">
          <cell r="B212" t="str">
            <v>3|投资资产未托管</v>
          </cell>
        </row>
        <row r="213">
          <cell r="B213" t="str">
            <v>1|具备完善的投资授权制度，建立董事会投资决策委员会体系，决策及批准权限明确</v>
          </cell>
        </row>
        <row r="214">
          <cell r="B214" t="str">
            <v>2|不具备完善的投资授权制度，未建立董事会投资决策委员会体系，决策及批准权限不明确</v>
          </cell>
        </row>
        <row r="215">
          <cell r="B215" t="str">
            <v>1|实现决策流程的信息化和自动化，通过信息系统手段实现投资决策流程、次序自动控制</v>
          </cell>
        </row>
        <row r="216">
          <cell r="B216" t="str">
            <v>2|未实现决策流程的信息化和自动化，未能通过信息系统手段实现投资决策流程、次序自动控制</v>
          </cell>
        </row>
        <row r="217">
          <cell r="B217" t="str">
            <v>3|不适用</v>
          </cell>
        </row>
        <row r="218">
          <cell r="B218" t="str">
            <v>1|能够提供受托机构相关证明材料</v>
          </cell>
        </row>
        <row r="219">
          <cell r="B219" t="str">
            <v>2|不能提供受托机构相关证明材料</v>
          </cell>
        </row>
        <row r="220">
          <cell r="B220" t="str">
            <v>3|其他</v>
          </cell>
        </row>
        <row r="221">
          <cell r="B221" t="str">
            <v>1|重要投资决策有相关书面记录，如会议纪要、最终投资决议等，并由决策人在最终投资决议上确认</v>
          </cell>
        </row>
        <row r="222">
          <cell r="B222" t="str">
            <v>2|重要投资决策没有相关书面记录，如会议纪要、最终投资决议等，或者决策人未在最终投资决议上确认</v>
          </cell>
        </row>
        <row r="223">
          <cell r="B223" t="str">
            <v>3|不适用</v>
          </cell>
        </row>
        <row r="224">
          <cell r="B224" t="str">
            <v>1|能够提供受托机构相关证明材料</v>
          </cell>
        </row>
        <row r="225">
          <cell r="B225" t="str">
            <v>2|不能提供受托机构相关证明材料</v>
          </cell>
        </row>
        <row r="226">
          <cell r="B226" t="str">
            <v>3|不适用</v>
          </cell>
        </row>
        <row r="227">
          <cell r="B227" t="str">
            <v>1|构建投资池、备选池和禁投池体系且定期维护</v>
          </cell>
        </row>
        <row r="228">
          <cell r="B228" t="str">
            <v>2|未构建投资池、备选池和禁投池体系</v>
          </cell>
        </row>
        <row r="229">
          <cell r="B229" t="str">
            <v>3|未开展股票、债券、开放式基金等投资</v>
          </cell>
        </row>
        <row r="230">
          <cell r="B230" t="str">
            <v>1|能够提供受托机构相关证明材料</v>
          </cell>
        </row>
        <row r="231">
          <cell r="B231" t="str">
            <v>2|不能提供受托机构相关证明材料</v>
          </cell>
        </row>
        <row r="232">
          <cell r="B232" t="str">
            <v>3|不适用</v>
          </cell>
        </row>
        <row r="233">
          <cell r="B233" t="str">
            <v>1|实行集中交易制度，安装必要的监测系统、预警系统和反馈系统，对交易室通讯设备进行监控</v>
          </cell>
        </row>
        <row r="234">
          <cell r="B234" t="str">
            <v>2|未实行集中交易制度，未安装必要的监测系统、预警系统和反馈系统，未对交易室通讯设备进行监控</v>
          </cell>
        </row>
        <row r="235">
          <cell r="B235" t="str">
            <v>3|不适用</v>
          </cell>
        </row>
        <row r="236">
          <cell r="B236" t="str">
            <v>1|能够提供受托机构相关证明材料</v>
          </cell>
        </row>
        <row r="237">
          <cell r="B237" t="str">
            <v>2|不能提供受托机构相关证明材料</v>
          </cell>
        </row>
        <row r="238">
          <cell r="B238" t="str">
            <v>3|不适用</v>
          </cell>
        </row>
        <row r="239">
          <cell r="B239" t="str">
            <v>1|建立完善的交易记录制度，每日对交易记录及时核对并存档</v>
          </cell>
        </row>
        <row r="240">
          <cell r="B240" t="str">
            <v>2|未建立完善的交易记录制度，未对交易记录及时核对并存档</v>
          </cell>
        </row>
        <row r="241">
          <cell r="B241" t="str">
            <v>3|不适用</v>
          </cell>
        </row>
        <row r="242">
          <cell r="B242" t="str">
            <v>1|能够提供受托机构相关证明材料</v>
          </cell>
        </row>
        <row r="243">
          <cell r="B243" t="str">
            <v>2|不能提供受托机构相关证明材料</v>
          </cell>
        </row>
        <row r="244">
          <cell r="B244" t="str">
            <v>3|不适用</v>
          </cell>
        </row>
        <row r="245">
          <cell r="B245" t="str">
            <v>1|建立会计估值政策与制度规范，估值结果经过复核审查</v>
          </cell>
        </row>
        <row r="246">
          <cell r="B246" t="str">
            <v>2|未建立会计估值政策与制度规范，估值未经过复核审查</v>
          </cell>
        </row>
        <row r="247">
          <cell r="B247" t="str">
            <v>3|不适用</v>
          </cell>
        </row>
        <row r="248">
          <cell r="B248" t="str">
            <v>1|能够提供受托机构相关证明材料</v>
          </cell>
        </row>
        <row r="249">
          <cell r="B249" t="str">
            <v>2|不能提供受托机构相关证明材料</v>
          </cell>
        </row>
        <row r="250">
          <cell r="B250" t="str">
            <v>3|不适用</v>
          </cell>
        </row>
        <row r="251">
          <cell r="B251" t="str">
            <v>1|投资部门的业务交易台账与后台清算记录和资金记录应保持一致，并保留复核纪录，每日完成交易后进行清算和交易信息核对</v>
          </cell>
        </row>
        <row r="252">
          <cell r="B252" t="str">
            <v>2|投资部门的业务交易台账未能与后台清算记录和资金记录保持一致，未保留复核纪录，每日完成交易后未进行清算和交易信息核对</v>
          </cell>
        </row>
        <row r="253">
          <cell r="B253" t="str">
            <v>3|不适用</v>
          </cell>
        </row>
        <row r="254">
          <cell r="B254" t="str">
            <v>1|由投资部门督促检查管理人和托管人的业务交易台账与后台清算记录和资金记录是否保持一致，管理人和托管人每日核对清算和交易信息</v>
          </cell>
        </row>
        <row r="255">
          <cell r="B255" t="str">
            <v>2|投资部门未督促检查管理人和托管人的业务交易台账与后台清算记录和资金记录是否保持一致，管理人和托管人每日未核对清算和交易信息</v>
          </cell>
        </row>
        <row r="256">
          <cell r="B256" t="str">
            <v>3|不适用</v>
          </cell>
        </row>
        <row r="257">
          <cell r="B257" t="str">
            <v>1|建立资金运用信息系统，设定合规性和风险指标阀值，将风险监控的各项要素固化到信息系统之中，实现管理自动化</v>
          </cell>
        </row>
        <row r="258">
          <cell r="B258" t="str">
            <v>2|建立资金运用信息系统，设定合规性和风险指标阀值，将部分合规性和风险指标阀值设置于信息系统</v>
          </cell>
        </row>
        <row r="259">
          <cell r="B259" t="str">
            <v>3|未建立资金运用信息系统，未设定合规性和风险指标阀值，未将风险监控的各项要素固化到信息系统之中</v>
          </cell>
        </row>
        <row r="260">
          <cell r="B260" t="str">
            <v>4|不适用</v>
          </cell>
        </row>
        <row r="261">
          <cell r="B261" t="str">
            <v>1|能够提供受托机构相关证明材料</v>
          </cell>
        </row>
        <row r="262">
          <cell r="B262" t="str">
            <v>2|不能提供受托机构相关证明材料</v>
          </cell>
        </row>
        <row r="263">
          <cell r="B263" t="str">
            <v>3|不适用</v>
          </cell>
        </row>
        <row r="264">
          <cell r="B264" t="str">
            <v>1|能积极参与、密切跟踪新的资金运用、偿付能力等政策制度，能够及时对新政作出调整资金运用管理流程和经营行为</v>
          </cell>
        </row>
        <row r="265">
          <cell r="B265" t="str">
            <v>2|未能积极参与、密切跟踪新的资金运用、偿付能力等政策制度，未能及时对新政作出调整资金运用管理流程和经营行为</v>
          </cell>
        </row>
        <row r="266">
          <cell r="B266" t="str">
            <v>1|对新的资金运用、偿付能力等政策制度，保险公司能够及时对高管、相关部门人员进行培训</v>
          </cell>
        </row>
        <row r="267">
          <cell r="B267" t="str">
            <v>2|对新的资金运用、偿付能力等政策制度，保险公司未能及时对高管、相关部门人员进行培训</v>
          </cell>
        </row>
        <row r="268">
          <cell r="B268" t="str">
            <v>1|财会部门主要负责人符合专业性要求</v>
          </cell>
        </row>
        <row r="269">
          <cell r="B269" t="str">
            <v>2|保险公司有多个部门负责财会工作的，所有的部门主要负责人符合专业性要求</v>
          </cell>
        </row>
        <row r="270">
          <cell r="B270" t="str">
            <v>3|其他</v>
          </cell>
        </row>
        <row r="271">
          <cell r="B271" t="str">
            <v>1|总公司财会部门负责人和分支机构财会部门负责人的业绩考核与相关操作风险相挂钩</v>
          </cell>
        </row>
        <row r="272">
          <cell r="B272" t="str">
            <v>2|总公司财会部门负责人和分支机构财会部门负责人的业绩考核不与相关操作风险相挂钩</v>
          </cell>
        </row>
        <row r="273">
          <cell r="B273" t="str">
            <v>1|建立财务管理操作风险数据库且如实记录操作风险事件</v>
          </cell>
        </row>
        <row r="274">
          <cell r="B274" t="str">
            <v>2|未建立财务管理操作风险数据库或未如实记录操作风险事件</v>
          </cell>
        </row>
        <row r="275">
          <cell r="B275" t="str">
            <v>1|保险公司的会计核算在总公司或省级分公司集中处理</v>
          </cell>
        </row>
        <row r="276">
          <cell r="B276" t="str">
            <v>2|保险公司的会计核算未在总公司和省级分公司集中处理</v>
          </cell>
        </row>
        <row r="277">
          <cell r="B277" t="str">
            <v>1|符合要求</v>
          </cell>
        </row>
        <row r="278">
          <cell r="B278" t="str">
            <v>2|不符合要求</v>
          </cell>
        </row>
        <row r="279">
          <cell r="B279" t="str">
            <v>1|符合要求</v>
          </cell>
        </row>
        <row r="280">
          <cell r="B280" t="str">
            <v>2|不符合要求</v>
          </cell>
        </row>
        <row r="281">
          <cell r="B281" t="str">
            <v>1|符合要求</v>
          </cell>
        </row>
        <row r="282">
          <cell r="B282" t="str">
            <v>2|不符合要求</v>
          </cell>
        </row>
        <row r="283">
          <cell r="B283" t="str">
            <v>1|单证的领用、核销有专门内控程序和专人负责</v>
          </cell>
        </row>
        <row r="284">
          <cell r="B284" t="str">
            <v>2|单证的领用、核销无专门内控程序和专人负责</v>
          </cell>
        </row>
        <row r="285">
          <cell r="B285" t="str">
            <v>1|财务类印章印鉴实行专人管理，且其使用有明确的内部审批流程</v>
          </cell>
        </row>
        <row r="286">
          <cell r="B286" t="str">
            <v>2|财务类印章印鉴无专人管理，或其使用无明确的内部审批流程</v>
          </cell>
        </row>
        <row r="287">
          <cell r="B287" t="str">
            <v>1|总公司和分公司有专人专岗负责税收管理</v>
          </cell>
        </row>
        <row r="288">
          <cell r="B288" t="str">
            <v>2|总公司和分公司无专岗但有专人负责税收管理</v>
          </cell>
        </row>
        <row r="289">
          <cell r="B289" t="str">
            <v>3|其他</v>
          </cell>
        </row>
        <row r="290">
          <cell r="B290" t="str">
            <v>1|保险公司建立了财务信息系统，实现管理自动化</v>
          </cell>
        </row>
        <row r="291">
          <cell r="B291" t="str">
            <v>2|保险公司未建立财务信息系统，未实现管理自动化</v>
          </cell>
        </row>
        <row r="292">
          <cell r="B292" t="str">
            <v>1|财务数据由总公司集中存储，分支机构没有修改财务数据权限</v>
          </cell>
        </row>
        <row r="293">
          <cell r="B293" t="str">
            <v>2|财务数据不是由总公司集中存储，或者分支机构有修改财务数据权限</v>
          </cell>
        </row>
        <row r="294">
          <cell r="B294" t="str">
            <v>1|核对频率高于等于每周一次</v>
          </cell>
        </row>
        <row r="295">
          <cell r="B295" t="str">
            <v>2|核对频率低于每周一次但高于等于每月一次</v>
          </cell>
        </row>
        <row r="296">
          <cell r="B296" t="str">
            <v>3|其他</v>
          </cell>
        </row>
        <row r="297">
          <cell r="B297" t="str">
            <v>1|能积极参与、密切跟踪新的会计、税收、财务监管、偿付能力等政策制度，能够及时调整财务管理流程和经营行为</v>
          </cell>
        </row>
        <row r="298">
          <cell r="B298" t="str">
            <v>2|未能积极参与、密切跟踪新的会计、税收、财务监管、偿付能力等政策制度，未能及时调整财务管理流程和经营行为</v>
          </cell>
        </row>
        <row r="299">
          <cell r="B299" t="str">
            <v>1|对新的会计、税收、财务监管、偿付能力等政策制度，保险公司能够及时对高管、相关部门人员进行培训</v>
          </cell>
        </row>
        <row r="300">
          <cell r="B300" t="str">
            <v>2|对新的会计、税收、财务监管、偿付能力等政策制度，保险公司不能及时对高管、相关部门人员进行培训</v>
          </cell>
        </row>
        <row r="301">
          <cell r="B301" t="str">
            <v>1|不存在公司会计、出纳、稽核等不相容岗位兼职情况</v>
          </cell>
        </row>
        <row r="302">
          <cell r="B302" t="str">
            <v>2|存在公司会计、出纳、稽核等不相容岗位兼职情况</v>
          </cell>
        </row>
        <row r="303">
          <cell r="B303" t="str">
            <v>1|省级分公司和中心支公司财务部门负责人的业绩考核与操作风险相挂钩</v>
          </cell>
        </row>
        <row r="304">
          <cell r="B304" t="str">
            <v>2|省级分公司和中心支公司财务部门负责人的业绩考核不与操作风险相挂钩</v>
          </cell>
        </row>
        <row r="305">
          <cell r="B305" t="str">
            <v>1|银行账户由总公司集中管理，银行账户的设立、变更或注销报总公司审批或备案，支公司及以下分支机构未开立银行账户（税收、社保账户除外）</v>
          </cell>
        </row>
        <row r="306">
          <cell r="B306" t="str">
            <v>2|银行账户不是由总公司集中管理，或者银行账户的设立、变更或注销不是报总公司审批或备案，或者支公司及以下分支机构开立银行账户（税收、社保账户除外）</v>
          </cell>
        </row>
        <row r="307">
          <cell r="B307" t="str">
            <v>1|评估期末公司本年度累计实际发生费用未超过预算</v>
          </cell>
        </row>
        <row r="308">
          <cell r="B308" t="str">
            <v>2|评估期末公司本年度累计实际发生费用超过预算</v>
          </cell>
        </row>
        <row r="309">
          <cell r="B309" t="str">
            <v>1|财务系统与单证系统、业务系统、再保系统、精算系统等对接，实现系统间数据自动交换</v>
          </cell>
        </row>
        <row r="310">
          <cell r="B310" t="str">
            <v>2|财务系统未与单证系统、业务系统、再保系统、精算系统等对接，未能实现系统间数据自动交换</v>
          </cell>
        </row>
        <row r="311">
          <cell r="B311" t="str">
            <v>1|未受到行政处罚</v>
          </cell>
        </row>
        <row r="312">
          <cell r="B312" t="str">
            <v>2|董事长、总经理被处以罚款</v>
          </cell>
        </row>
        <row r="313">
          <cell r="B313" t="str">
            <v>3|董事长、总经理以外的其他董事、高级管理人员被撤销任职资格或者禁止进入保险业</v>
          </cell>
        </row>
        <row r="316">
          <cell r="B316" t="str">
            <v>1|未受到该类行政处罚</v>
          </cell>
        </row>
        <row r="317">
          <cell r="B317" t="str">
            <v>2|受到该类行政处罚</v>
          </cell>
        </row>
        <row r="318">
          <cell r="B318" t="str">
            <v>1|设置合规管理部门</v>
          </cell>
        </row>
        <row r="319">
          <cell r="B319" t="str">
            <v>2|未设置合规管理部门</v>
          </cell>
        </row>
        <row r="320">
          <cell r="B320" t="str">
            <v>1|按照规定制定合规管理政策</v>
          </cell>
        </row>
        <row r="321">
          <cell r="B321" t="str">
            <v>2|未按照规定制定合规管理政策</v>
          </cell>
        </row>
        <row r="322">
          <cell r="B322" t="str">
            <v>1|制定员工行为准则等落实合规政策的文件</v>
          </cell>
        </row>
        <row r="323">
          <cell r="B323" t="str">
            <v>2|未制定员工行为准则等落实合规政策的文件</v>
          </cell>
        </row>
        <row r="324">
          <cell r="B324" t="str">
            <v>1|定期开展合规培训</v>
          </cell>
        </row>
        <row r="325">
          <cell r="B325" t="str">
            <v>2|未定期开展合规培训</v>
          </cell>
        </row>
        <row r="326">
          <cell r="B326" t="str">
            <v>1|按时提交年度合规报告</v>
          </cell>
        </row>
        <row r="327">
          <cell r="B327" t="str">
            <v>2|未按时提交年度合规报告</v>
          </cell>
        </row>
        <row r="328">
          <cell r="B328" t="str">
            <v>1|总公司被限制业务范围、责令停止接受新业务、责令停业整顿、吊销业务许可证</v>
          </cell>
        </row>
        <row r="329">
          <cell r="B329" t="str">
            <v>2|总公司董事长、总经理被撤销任职资格或者禁止进入保险业</v>
          </cell>
        </row>
        <row r="330">
          <cell r="B330" t="str">
            <v>3|无</v>
          </cell>
        </row>
      </sheetData>
      <sheetData sheetId="3">
        <row r="2">
          <cell r="B2" t="str">
            <v>1|销售人员管理体系完善，制定和实施了详细的培训计划</v>
          </cell>
          <cell r="C2">
            <v>4</v>
          </cell>
        </row>
        <row r="3">
          <cell r="B3" t="str">
            <v>2|销售人员管理体系完善，未制定和实施详细的培训计划</v>
          </cell>
          <cell r="C3">
            <v>2</v>
          </cell>
        </row>
        <row r="4">
          <cell r="B4" t="str">
            <v>3|销售人员管理体系不完善，未制定和实施详细的培训计划</v>
          </cell>
          <cell r="C4">
            <v>0</v>
          </cell>
        </row>
        <row r="5">
          <cell r="B5" t="str">
            <v>1|保险公司明确了核保人员资质条件，定期举行核保人员上岗资格考试</v>
          </cell>
          <cell r="C5">
            <v>6</v>
          </cell>
        </row>
        <row r="6">
          <cell r="B6" t="str">
            <v>2|保险公司明确了核保人员资质条件，未举行核保人员上岗资格考试</v>
          </cell>
          <cell r="C6">
            <v>3</v>
          </cell>
        </row>
        <row r="7">
          <cell r="B7" t="str">
            <v>3|保险公司未明确核保人员资质条件，不举行核保人员上岗资格考试，不开展核保人员培训</v>
          </cell>
          <cell r="C7">
            <v>0</v>
          </cell>
        </row>
        <row r="8">
          <cell r="B8" t="str">
            <v>1|保险公司核保分级授权清晰，明确了核保人员授权标准且定期更新，核保授权固化到系统</v>
          </cell>
          <cell r="C8">
            <v>6</v>
          </cell>
        </row>
        <row r="9">
          <cell r="B9" t="str">
            <v>2|保险公司有核保分级授权，但不够完善，对核保人员核保授权未固化到系统</v>
          </cell>
          <cell r="C9">
            <v>3</v>
          </cell>
        </row>
        <row r="10">
          <cell r="B10" t="str">
            <v>3|保险公司未明确核保人员资质条件，不举行核保人员上岗资格考试，不开展核保人员培训</v>
          </cell>
          <cell r="C10">
            <v>0</v>
          </cell>
        </row>
        <row r="11">
          <cell r="B11">
            <v>0</v>
          </cell>
          <cell r="C11">
            <v>0</v>
          </cell>
        </row>
        <row r="12">
          <cell r="B12">
            <v>0.8</v>
          </cell>
          <cell r="C12">
            <v>2</v>
          </cell>
        </row>
        <row r="13">
          <cell r="B13">
            <v>0.9</v>
          </cell>
          <cell r="C13">
            <v>3</v>
          </cell>
        </row>
        <row r="14">
          <cell r="B14">
            <v>1</v>
          </cell>
          <cell r="C14">
            <v>4</v>
          </cell>
        </row>
        <row r="15">
          <cell r="B15">
            <v>0</v>
          </cell>
          <cell r="C15">
            <v>0</v>
          </cell>
        </row>
        <row r="16">
          <cell r="B16">
            <v>0.8</v>
          </cell>
          <cell r="C16">
            <v>1</v>
          </cell>
        </row>
        <row r="17">
          <cell r="B17">
            <v>0.9</v>
          </cell>
          <cell r="C17">
            <v>2</v>
          </cell>
        </row>
        <row r="18">
          <cell r="B18">
            <v>1</v>
          </cell>
          <cell r="C18">
            <v>3</v>
          </cell>
        </row>
        <row r="19">
          <cell r="B19">
            <v>0</v>
          </cell>
          <cell r="C19">
            <v>0</v>
          </cell>
        </row>
        <row r="20">
          <cell r="B20">
            <v>0.95</v>
          </cell>
          <cell r="C20">
            <v>1</v>
          </cell>
        </row>
        <row r="21">
          <cell r="B21">
            <v>0.98</v>
          </cell>
          <cell r="C21">
            <v>2</v>
          </cell>
        </row>
        <row r="22">
          <cell r="B22">
            <v>1</v>
          </cell>
          <cell r="C22">
            <v>3</v>
          </cell>
        </row>
        <row r="23">
          <cell r="B23" t="str">
            <v>1|对需审批的保险条款和费率，均经保险会批准后使用</v>
          </cell>
          <cell r="C23">
            <v>0</v>
          </cell>
        </row>
        <row r="24">
          <cell r="B24" t="str">
            <v>2|对需审批的保险条款和费率，未经保险会批准使用</v>
          </cell>
          <cell r="C24">
            <v>-2</v>
          </cell>
        </row>
        <row r="25">
          <cell r="B25" t="str">
            <v>1|对不需审批的保险条款和费率，均在使用后十个工作内报保监会备案</v>
          </cell>
          <cell r="C25">
            <v>0</v>
          </cell>
        </row>
        <row r="26">
          <cell r="B26" t="str">
            <v>2|对不需审批的保险条款和费率，未在使用后十个工作内报保监会备案</v>
          </cell>
          <cell r="C26">
            <v>-2</v>
          </cell>
        </row>
        <row r="27">
          <cell r="B27" t="str">
            <v>1|严格执行经保监会批准或备案的保险条款和费率</v>
          </cell>
          <cell r="C27">
            <v>0</v>
          </cell>
        </row>
        <row r="28">
          <cell r="B28" t="str">
            <v>2|未严格执行经保监会批准或备案的保险条款和费率，擅自改变条款或费率</v>
          </cell>
          <cell r="C28">
            <v>-2</v>
          </cell>
        </row>
        <row r="29">
          <cell r="B29">
            <v>0</v>
          </cell>
          <cell r="C29">
            <v>3</v>
          </cell>
        </row>
        <row r="30">
          <cell r="B30">
            <v>3.0000000000000001E-3</v>
          </cell>
          <cell r="C30">
            <v>2</v>
          </cell>
        </row>
        <row r="31">
          <cell r="B31">
            <v>5.0000000000000001E-3</v>
          </cell>
          <cell r="C31">
            <v>1</v>
          </cell>
        </row>
        <row r="32">
          <cell r="B32">
            <v>0.01</v>
          </cell>
          <cell r="C32">
            <v>0</v>
          </cell>
        </row>
        <row r="33">
          <cell r="B33" t="str">
            <v>1|保险公司档案管理制度完善，承保档案保管范围、期限符合规定，保单按流水号装订，附件齐全，相关单证资料及时归档，集中管理，完整妥善保管</v>
          </cell>
          <cell r="C33">
            <v>5</v>
          </cell>
        </row>
        <row r="34">
          <cell r="B34" t="str">
            <v>2|保险公司建立了档案管理制度，承保档案保管、装订、归档符合规定，但承保档案未集中管理</v>
          </cell>
          <cell r="C34">
            <v>3</v>
          </cell>
        </row>
        <row r="35">
          <cell r="B35" t="str">
            <v>3|保险公司未建立承保业务档案管理制度，或存在承保档案不全或遗失的情况</v>
          </cell>
          <cell r="C35">
            <v>0</v>
          </cell>
        </row>
        <row r="36">
          <cell r="B36" t="str">
            <v>1|制定符合产品特点的应收保费管理细则</v>
          </cell>
          <cell r="C36">
            <v>0</v>
          </cell>
        </row>
        <row r="37">
          <cell r="B37" t="str">
            <v>2|未制定符合产品特点的应收保费管理细则</v>
          </cell>
          <cell r="C37">
            <v>-1.25</v>
          </cell>
        </row>
        <row r="38">
          <cell r="B38" t="str">
            <v>1|根据应收保费管理细则实施应收保费的日常管理，监控应收保费余额、增速、账龄、应收率等指标</v>
          </cell>
          <cell r="C38">
            <v>0</v>
          </cell>
        </row>
        <row r="39">
          <cell r="B39" t="str">
            <v>2|未根据应收保费管理细则实施应收保费的日常管理，监控应收保费余额、增速、账龄、应收率等指标</v>
          </cell>
          <cell r="C39">
            <v>-1.25</v>
          </cell>
        </row>
        <row r="40">
          <cell r="B40" t="str">
            <v>1|对应收账龄超过3个月的应收保费开展催收（不包括单笔金额小于1万元应收保费）</v>
          </cell>
          <cell r="C40">
            <v>0</v>
          </cell>
        </row>
        <row r="41">
          <cell r="B41" t="str">
            <v>2|未对应收账龄超过3个月的应收保费开展催收（不包括单笔金额小于1万元应收保费）</v>
          </cell>
          <cell r="C41">
            <v>-1.25</v>
          </cell>
        </row>
        <row r="42">
          <cell r="B42" t="str">
            <v>1|总公司开展应收保费考核</v>
          </cell>
          <cell r="C42">
            <v>0</v>
          </cell>
        </row>
        <row r="43">
          <cell r="B43" t="str">
            <v>2|总公司未开展应收保费考核</v>
          </cell>
          <cell r="C43">
            <v>-1.25</v>
          </cell>
        </row>
        <row r="44">
          <cell r="B44" t="str">
            <v>1|未出现利用广告后其他宣传方式对保险条款内容和服务质量等做引人误解的宣传的情况</v>
          </cell>
          <cell r="C44">
            <v>0</v>
          </cell>
        </row>
        <row r="45">
          <cell r="B45" t="str">
            <v>2|利用广告后其他宣传方式对保险条款内容和服务质量等做引人误解的宣传</v>
          </cell>
          <cell r="C45">
            <v>-1</v>
          </cell>
        </row>
        <row r="46">
          <cell r="B46" t="str">
            <v>1|未出现销售活动中阻碍消费者履行如实告知义务或诱导其不履行如实告知义务的情况</v>
          </cell>
          <cell r="C46">
            <v>0</v>
          </cell>
        </row>
        <row r="47">
          <cell r="B47" t="str">
            <v>2|销售活动中阻碍消费者履行如实告知义务或诱导其不履行如实告知义务</v>
          </cell>
          <cell r="C47">
            <v>-1</v>
          </cell>
        </row>
        <row r="48">
          <cell r="B48" t="str">
            <v>1|未出现夸大保险产品保障的情况</v>
          </cell>
          <cell r="C48">
            <v>0</v>
          </cell>
        </row>
        <row r="49">
          <cell r="B49" t="str">
            <v>2|夸大保险产品保障</v>
          </cell>
          <cell r="C49">
            <v>-1</v>
          </cell>
        </row>
        <row r="50">
          <cell r="B50" t="str">
            <v>1|未出现隐瞒合同重要内容，如免责、退保等内容的情况</v>
          </cell>
          <cell r="C50">
            <v>0</v>
          </cell>
        </row>
        <row r="51">
          <cell r="B51" t="str">
            <v>2|隐瞒合同重要内容，如免责、退保等内容</v>
          </cell>
          <cell r="C51">
            <v>-1</v>
          </cell>
        </row>
        <row r="52">
          <cell r="B52" t="str">
            <v>1|未出现提供虚假产品信息的情况</v>
          </cell>
          <cell r="C52">
            <v>0</v>
          </cell>
        </row>
        <row r="53">
          <cell r="B53" t="str">
            <v>2|提供虚假产品信息</v>
          </cell>
          <cell r="C53">
            <v>-1</v>
          </cell>
        </row>
        <row r="54">
          <cell r="B54" t="str">
            <v>1|新险种未及时实现承保业务信息系统管理</v>
          </cell>
          <cell r="C54">
            <v>-3</v>
          </cell>
        </row>
        <row r="55">
          <cell r="B55" t="str">
            <v>2|新险种及时实现承保业务信息系统管理</v>
          </cell>
          <cell r="C55">
            <v>0</v>
          </cell>
        </row>
        <row r="56">
          <cell r="B56" t="str">
            <v>1|新险种未及时实现承保业务统计分析系统管理</v>
          </cell>
          <cell r="C56">
            <v>-3</v>
          </cell>
        </row>
        <row r="57">
          <cell r="B57" t="str">
            <v>2|新险种及时实现承保业务统计分析系统管理</v>
          </cell>
          <cell r="C57">
            <v>0</v>
          </cell>
        </row>
        <row r="58">
          <cell r="B58" t="str">
            <v>1|承保业务系统未实现与再保、财务系统无缝对接</v>
          </cell>
          <cell r="C58">
            <v>-5</v>
          </cell>
        </row>
        <row r="59">
          <cell r="B59" t="str">
            <v>2|承保业务系统实现与再保、财务系统无缝对接</v>
          </cell>
          <cell r="C59">
            <v>0</v>
          </cell>
        </row>
        <row r="60">
          <cell r="B60"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cell r="C60">
            <v>3</v>
          </cell>
        </row>
        <row r="61">
          <cell r="B61"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cell r="C61">
            <v>2</v>
          </cell>
        </row>
        <row r="62">
          <cell r="B62" t="str">
            <v>3|保险公司未建立销售管理系统</v>
          </cell>
          <cell r="C62">
            <v>0</v>
          </cell>
        </row>
        <row r="63">
          <cell r="B63"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cell r="C63">
            <v>6</v>
          </cell>
        </row>
        <row r="64">
          <cell r="B64" t="str">
            <v>2|保险公司在承保业务系统中，对客户信息和保险标的信息的核心内容、投保险种、保险金额、保费金额、保险费率、责任限额、信用限额（信用险）、被保险人申报的交易（信用险）、保险期间等关键承保信息，部分设置为必录项</v>
          </cell>
          <cell r="C64">
            <v>4</v>
          </cell>
        </row>
        <row r="65">
          <cell r="B65" t="str">
            <v>3|保险公司在承保业务系统中未对关键承保信息设置为必录项，系统中数据记录不完整、不真实</v>
          </cell>
          <cell r="C65">
            <v>0</v>
          </cell>
        </row>
        <row r="66">
          <cell r="B66">
            <v>0</v>
          </cell>
          <cell r="C66">
            <v>0</v>
          </cell>
        </row>
        <row r="67">
          <cell r="B67">
            <v>0.4</v>
          </cell>
          <cell r="C67">
            <v>5</v>
          </cell>
        </row>
        <row r="68">
          <cell r="B68">
            <v>0.7</v>
          </cell>
          <cell r="C68">
            <v>10</v>
          </cell>
        </row>
        <row r="69">
          <cell r="B69" t="str">
            <v>1|保险公司农业保险承保到户，并能够根据需要提供保险单或保险凭证</v>
          </cell>
          <cell r="C69">
            <v>10</v>
          </cell>
        </row>
        <row r="70">
          <cell r="B70" t="str">
            <v>2|其他情况</v>
          </cell>
          <cell r="C70">
            <v>0</v>
          </cell>
        </row>
        <row r="71">
          <cell r="B71">
            <v>0</v>
          </cell>
          <cell r="C71">
            <v>-0.1</v>
          </cell>
        </row>
        <row r="72">
          <cell r="B72">
            <v>8</v>
          </cell>
          <cell r="C72">
            <v>0</v>
          </cell>
        </row>
        <row r="73">
          <cell r="B73">
            <v>8.0000000001</v>
          </cell>
          <cell r="C73">
            <v>0.1</v>
          </cell>
        </row>
        <row r="74">
          <cell r="B74">
            <v>0</v>
          </cell>
          <cell r="C74">
            <v>-0.1</v>
          </cell>
        </row>
        <row r="75">
          <cell r="B75">
            <v>10</v>
          </cell>
          <cell r="C75">
            <v>0</v>
          </cell>
        </row>
        <row r="76">
          <cell r="B76">
            <v>10.000000001</v>
          </cell>
          <cell r="C76">
            <v>0.1</v>
          </cell>
        </row>
        <row r="77">
          <cell r="B77">
            <v>0</v>
          </cell>
          <cell r="C77">
            <v>-0.1</v>
          </cell>
        </row>
        <row r="78">
          <cell r="B78">
            <v>6</v>
          </cell>
          <cell r="C78">
            <v>0</v>
          </cell>
        </row>
        <row r="79">
          <cell r="B79">
            <v>6.0000000000010001</v>
          </cell>
          <cell r="C79">
            <v>0.1</v>
          </cell>
        </row>
        <row r="80">
          <cell r="B80">
            <v>1</v>
          </cell>
          <cell r="C80">
            <v>6</v>
          </cell>
        </row>
        <row r="81">
          <cell r="B81">
            <v>25</v>
          </cell>
          <cell r="C81">
            <v>4</v>
          </cell>
        </row>
        <row r="82">
          <cell r="B82">
            <v>50</v>
          </cell>
          <cell r="C82">
            <v>2</v>
          </cell>
        </row>
        <row r="83">
          <cell r="B83">
            <v>75</v>
          </cell>
          <cell r="C83">
            <v>0</v>
          </cell>
        </row>
        <row r="84">
          <cell r="B84">
            <v>0</v>
          </cell>
          <cell r="C84">
            <v>6</v>
          </cell>
        </row>
        <row r="85">
          <cell r="B85">
            <v>85</v>
          </cell>
          <cell r="C85">
            <v>4</v>
          </cell>
        </row>
        <row r="86">
          <cell r="B86">
            <v>125</v>
          </cell>
          <cell r="C86">
            <v>2</v>
          </cell>
        </row>
        <row r="87">
          <cell r="B87">
            <v>150</v>
          </cell>
          <cell r="C87">
            <v>0</v>
          </cell>
        </row>
        <row r="88">
          <cell r="B88">
            <v>0</v>
          </cell>
          <cell r="C88">
            <v>6</v>
          </cell>
        </row>
        <row r="89">
          <cell r="B89">
            <v>85</v>
          </cell>
          <cell r="C89">
            <v>4</v>
          </cell>
        </row>
        <row r="90">
          <cell r="B90">
            <v>125</v>
          </cell>
          <cell r="C90">
            <v>2</v>
          </cell>
        </row>
        <row r="91">
          <cell r="B91">
            <v>150</v>
          </cell>
          <cell r="C91">
            <v>0</v>
          </cell>
        </row>
        <row r="92">
          <cell r="B92">
            <v>0</v>
          </cell>
          <cell r="C92">
            <v>0</v>
          </cell>
        </row>
        <row r="93">
          <cell r="B93">
            <v>85</v>
          </cell>
          <cell r="C93">
            <v>1</v>
          </cell>
        </row>
        <row r="94">
          <cell r="B94">
            <v>125</v>
          </cell>
          <cell r="C94">
            <v>2</v>
          </cell>
        </row>
        <row r="95">
          <cell r="B95">
            <v>150</v>
          </cell>
          <cell r="C95">
            <v>3</v>
          </cell>
        </row>
        <row r="96">
          <cell r="B96">
            <v>0</v>
          </cell>
          <cell r="C96">
            <v>2</v>
          </cell>
        </row>
        <row r="97">
          <cell r="B97">
            <v>85</v>
          </cell>
          <cell r="C97">
            <v>3</v>
          </cell>
        </row>
        <row r="98">
          <cell r="B98">
            <v>125</v>
          </cell>
          <cell r="C98">
            <v>4</v>
          </cell>
        </row>
        <row r="99">
          <cell r="B99">
            <v>150</v>
          </cell>
          <cell r="C99">
            <v>5</v>
          </cell>
        </row>
        <row r="100">
          <cell r="B100">
            <v>1</v>
          </cell>
          <cell r="C100">
            <v>0</v>
          </cell>
        </row>
        <row r="101">
          <cell r="B101">
            <v>25</v>
          </cell>
          <cell r="C101">
            <v>2</v>
          </cell>
        </row>
        <row r="102">
          <cell r="B102">
            <v>50</v>
          </cell>
          <cell r="C102">
            <v>4</v>
          </cell>
        </row>
        <row r="103">
          <cell r="B103">
            <v>75</v>
          </cell>
          <cell r="C103">
            <v>6</v>
          </cell>
        </row>
        <row r="104">
          <cell r="B104">
            <v>0</v>
          </cell>
          <cell r="C104">
            <v>0</v>
          </cell>
        </row>
        <row r="105">
          <cell r="B105">
            <v>0.9</v>
          </cell>
          <cell r="C105">
            <v>-63</v>
          </cell>
        </row>
        <row r="106">
          <cell r="B106">
            <v>1</v>
          </cell>
          <cell r="C106">
            <v>7</v>
          </cell>
        </row>
        <row r="107">
          <cell r="B107">
            <v>25</v>
          </cell>
          <cell r="C107">
            <v>5</v>
          </cell>
        </row>
        <row r="108">
          <cell r="B108">
            <v>50</v>
          </cell>
          <cell r="C108">
            <v>3</v>
          </cell>
        </row>
        <row r="109">
          <cell r="B109">
            <v>75</v>
          </cell>
          <cell r="C109">
            <v>1</v>
          </cell>
        </row>
        <row r="110">
          <cell r="B110">
            <v>1</v>
          </cell>
          <cell r="C110">
            <v>3</v>
          </cell>
        </row>
        <row r="111">
          <cell r="B111">
            <v>25</v>
          </cell>
          <cell r="C111">
            <v>2</v>
          </cell>
        </row>
        <row r="112">
          <cell r="B112">
            <v>50</v>
          </cell>
          <cell r="C112">
            <v>1</v>
          </cell>
        </row>
        <row r="113">
          <cell r="B113">
            <v>75</v>
          </cell>
          <cell r="C113">
            <v>0</v>
          </cell>
        </row>
        <row r="114">
          <cell r="B114" t="str">
            <v>1|全部采用银（邮）保通系统出单</v>
          </cell>
          <cell r="C114">
            <v>2</v>
          </cell>
        </row>
        <row r="115">
          <cell r="B115" t="str">
            <v>2|未全部采用银（邮）保通系统出单</v>
          </cell>
          <cell r="C115">
            <v>0</v>
          </cell>
        </row>
        <row r="116">
          <cell r="B116" t="str">
            <v>1|意外险出单系统不存在未与核心业务系统实时对接的问题</v>
          </cell>
          <cell r="C116">
            <v>0</v>
          </cell>
        </row>
        <row r="117">
          <cell r="B117" t="str">
            <v>2|意外险出单系统存在未与核心业务系统实时对接的问题</v>
          </cell>
          <cell r="C117">
            <v>-2</v>
          </cell>
        </row>
        <row r="118">
          <cell r="B118" t="str">
            <v>1|核心业务系统完整记录意外险保单信息内容</v>
          </cell>
          <cell r="C118">
            <v>0</v>
          </cell>
        </row>
        <row r="119">
          <cell r="B119" t="str">
            <v>2|核心业务系统未完整记录意外险保单信息内容</v>
          </cell>
          <cell r="C119">
            <v>-2</v>
          </cell>
        </row>
        <row r="120">
          <cell r="B120" t="str">
            <v>1|不具备完整性控制功能</v>
          </cell>
          <cell r="C120">
            <v>-3</v>
          </cell>
        </row>
        <row r="121">
          <cell r="B121" t="str">
            <v>2|具备完整性控制功能，但功能不完备</v>
          </cell>
          <cell r="C121">
            <v>-2</v>
          </cell>
        </row>
        <row r="122">
          <cell r="B122" t="str">
            <v>3|具备完整性控制功能，且功能完备</v>
          </cell>
          <cell r="C122">
            <v>0</v>
          </cell>
        </row>
        <row r="123">
          <cell r="B123" t="str">
            <v>1|不具备完整性控制功能</v>
          </cell>
          <cell r="C123">
            <v>-3</v>
          </cell>
        </row>
        <row r="124">
          <cell r="B124" t="str">
            <v>2|具备完整性控制功能，但功能不完备</v>
          </cell>
          <cell r="C124">
            <v>-2</v>
          </cell>
        </row>
        <row r="125">
          <cell r="B125" t="str">
            <v>3|具备完整性控制功能，且功能完备</v>
          </cell>
          <cell r="C125">
            <v>0</v>
          </cell>
        </row>
        <row r="126">
          <cell r="B126">
            <v>0</v>
          </cell>
          <cell r="C126">
            <v>0</v>
          </cell>
        </row>
        <row r="127">
          <cell r="B127">
            <v>20</v>
          </cell>
          <cell r="C127">
            <v>2</v>
          </cell>
        </row>
        <row r="128">
          <cell r="B128">
            <v>40</v>
          </cell>
          <cell r="C128">
            <v>4</v>
          </cell>
        </row>
        <row r="129">
          <cell r="B129">
            <v>60</v>
          </cell>
          <cell r="C129">
            <v>6</v>
          </cell>
        </row>
        <row r="130">
          <cell r="B130">
            <v>80</v>
          </cell>
          <cell r="C130">
            <v>8</v>
          </cell>
        </row>
        <row r="131">
          <cell r="B131">
            <v>0</v>
          </cell>
          <cell r="C131">
            <v>0</v>
          </cell>
        </row>
        <row r="132">
          <cell r="B132">
            <v>20</v>
          </cell>
          <cell r="C132">
            <v>0.5</v>
          </cell>
        </row>
        <row r="133">
          <cell r="B133">
            <v>40</v>
          </cell>
          <cell r="C133">
            <v>1</v>
          </cell>
        </row>
        <row r="134">
          <cell r="B134">
            <v>60</v>
          </cell>
          <cell r="C134">
            <v>1.5</v>
          </cell>
        </row>
        <row r="135">
          <cell r="B135">
            <v>80</v>
          </cell>
          <cell r="C135">
            <v>2</v>
          </cell>
        </row>
        <row r="136">
          <cell r="B136">
            <v>0</v>
          </cell>
          <cell r="C136">
            <v>3</v>
          </cell>
        </row>
        <row r="137">
          <cell r="B137">
            <v>0.30000000000009996</v>
          </cell>
          <cell r="C137">
            <v>1.5</v>
          </cell>
        </row>
        <row r="138">
          <cell r="B138">
            <v>0.50000000010000001</v>
          </cell>
          <cell r="C138">
            <v>0</v>
          </cell>
        </row>
        <row r="139">
          <cell r="B139">
            <v>0</v>
          </cell>
          <cell r="C139">
            <v>0</v>
          </cell>
        </row>
        <row r="140">
          <cell r="B140">
            <v>0.5</v>
          </cell>
          <cell r="C140">
            <v>1</v>
          </cell>
        </row>
        <row r="141">
          <cell r="B141">
            <v>0.8</v>
          </cell>
          <cell r="C141">
            <v>2</v>
          </cell>
        </row>
        <row r="142">
          <cell r="B142">
            <v>0</v>
          </cell>
          <cell r="C142">
            <v>3</v>
          </cell>
        </row>
        <row r="143">
          <cell r="B143">
            <v>0.15000000001</v>
          </cell>
          <cell r="C143">
            <v>1.5</v>
          </cell>
        </row>
        <row r="144">
          <cell r="B144">
            <v>0.30000000100000002</v>
          </cell>
          <cell r="C144">
            <v>0</v>
          </cell>
        </row>
        <row r="145">
          <cell r="B145">
            <v>0</v>
          </cell>
          <cell r="C145">
            <v>0</v>
          </cell>
        </row>
        <row r="146">
          <cell r="B146">
            <v>1</v>
          </cell>
          <cell r="C146">
            <v>1.5</v>
          </cell>
        </row>
        <row r="147">
          <cell r="B147">
            <v>3</v>
          </cell>
          <cell r="C147">
            <v>3</v>
          </cell>
        </row>
        <row r="148">
          <cell r="B148" t="str">
            <v>1|将操作风险纳入省级分公司和中心支公司销售、承保、保全部门负责人考核体系</v>
          </cell>
          <cell r="C148">
            <v>4</v>
          </cell>
        </row>
        <row r="149">
          <cell r="B149" t="str">
            <v>2|未将操作风险纳入省级分公司和中心支公司销售、承保、保全部门负责人考核体系</v>
          </cell>
          <cell r="C149">
            <v>0</v>
          </cell>
        </row>
        <row r="150">
          <cell r="B150">
            <v>0</v>
          </cell>
          <cell r="C150">
            <v>0</v>
          </cell>
        </row>
        <row r="151">
          <cell r="B151">
            <v>1</v>
          </cell>
          <cell r="C151">
            <v>2</v>
          </cell>
        </row>
        <row r="152">
          <cell r="B152">
            <v>0</v>
          </cell>
          <cell r="C152">
            <v>0</v>
          </cell>
        </row>
        <row r="153">
          <cell r="B153">
            <v>1</v>
          </cell>
          <cell r="C153">
            <v>2</v>
          </cell>
        </row>
        <row r="154">
          <cell r="B154" t="str">
            <v>1|佣金和手续费由总公司通过银行转账等非现金方式集中支付</v>
          </cell>
          <cell r="C154">
            <v>3</v>
          </cell>
        </row>
        <row r="155">
          <cell r="B155" t="str">
            <v>2|佣金和手续费由省级分公司通过银行转账等非现金方式集中支付</v>
          </cell>
          <cell r="C155">
            <v>1.5</v>
          </cell>
        </row>
        <row r="156">
          <cell r="B156" t="str">
            <v>3|其他</v>
          </cell>
          <cell r="C156">
            <v>0</v>
          </cell>
        </row>
        <row r="157">
          <cell r="B157" t="str">
            <v>1|全部业务均由省公司及以上机构集中核保</v>
          </cell>
          <cell r="C157">
            <v>2</v>
          </cell>
        </row>
        <row r="158">
          <cell r="B158" t="str">
            <v>2|中支机构具有核保权限，且支公司及以下分支机构不具有核保权限</v>
          </cell>
          <cell r="C158">
            <v>1</v>
          </cell>
        </row>
        <row r="159">
          <cell r="B159" t="str">
            <v>3|支公司及以下分支机构具有核保权限</v>
          </cell>
          <cell r="C159">
            <v>0</v>
          </cell>
        </row>
        <row r="160">
          <cell r="B160" t="str">
            <v>1|公司建立了保险标的核验和风险评估制度，并能严格按制度规定展开核验</v>
          </cell>
          <cell r="C160">
            <v>1</v>
          </cell>
        </row>
        <row r="161">
          <cell r="B161" t="str">
            <v>2|其他情况</v>
          </cell>
          <cell r="C161">
            <v>0</v>
          </cell>
        </row>
        <row r="162">
          <cell r="B162">
            <v>0</v>
          </cell>
          <cell r="C162">
            <v>2</v>
          </cell>
        </row>
        <row r="163">
          <cell r="B163">
            <v>5.0000001000000002E-2</v>
          </cell>
          <cell r="C163">
            <v>1</v>
          </cell>
        </row>
        <row r="164">
          <cell r="B164">
            <v>0.1000000001</v>
          </cell>
          <cell r="C164">
            <v>0</v>
          </cell>
        </row>
        <row r="168">
          <cell r="B168">
            <v>0</v>
          </cell>
          <cell r="C168">
            <v>2</v>
          </cell>
        </row>
        <row r="169">
          <cell r="B169">
            <v>3.0000000999999998E-2</v>
          </cell>
          <cell r="C169">
            <v>1</v>
          </cell>
        </row>
        <row r="170">
          <cell r="B170">
            <v>5.0000000100000004E-2</v>
          </cell>
          <cell r="C170">
            <v>0</v>
          </cell>
        </row>
        <row r="171">
          <cell r="B171">
            <v>0</v>
          </cell>
          <cell r="C171">
            <v>2</v>
          </cell>
        </row>
        <row r="172">
          <cell r="B172">
            <v>1.0000001E-2</v>
          </cell>
          <cell r="C172">
            <v>1</v>
          </cell>
        </row>
        <row r="173">
          <cell r="B173">
            <v>2.0000000100000002E-2</v>
          </cell>
          <cell r="C173">
            <v>0</v>
          </cell>
        </row>
        <row r="174">
          <cell r="B174" t="str">
            <v>1|评估期，涉及保费批减、退保的资金未发生支付至投保人、被保险人或取得相应授权的合法第三方以外情况</v>
          </cell>
          <cell r="C174">
            <v>1</v>
          </cell>
        </row>
        <row r="175">
          <cell r="B175" t="str">
            <v>2|评估期，涉及保费批减、退保的资金发生支付至投保人、被保险人或取得相应授权的合法第三方以外情况</v>
          </cell>
          <cell r="C175">
            <v>0</v>
          </cell>
        </row>
        <row r="176">
          <cell r="B176" t="str">
            <v>1|评估期各业务条线佣金及手续费均通过系统跟单自动计提</v>
          </cell>
          <cell r="C176">
            <v>2</v>
          </cell>
        </row>
        <row r="177">
          <cell r="B177" t="str">
            <v>2|其他情况</v>
          </cell>
          <cell r="C177">
            <v>0</v>
          </cell>
        </row>
        <row r="178">
          <cell r="B178">
            <v>0</v>
          </cell>
          <cell r="C178">
            <v>10</v>
          </cell>
        </row>
        <row r="179">
          <cell r="B179">
            <v>7</v>
          </cell>
          <cell r="C179">
            <v>5</v>
          </cell>
        </row>
        <row r="180">
          <cell r="B180">
            <v>10.5</v>
          </cell>
          <cell r="C180">
            <v>2</v>
          </cell>
        </row>
        <row r="181">
          <cell r="B181">
            <v>14</v>
          </cell>
          <cell r="C181">
            <v>0</v>
          </cell>
        </row>
        <row r="182">
          <cell r="B182">
            <v>0</v>
          </cell>
          <cell r="C182">
            <v>3</v>
          </cell>
        </row>
        <row r="183">
          <cell r="B183">
            <v>0.30000000000009996</v>
          </cell>
          <cell r="C183">
            <v>1.5</v>
          </cell>
        </row>
        <row r="184">
          <cell r="B184">
            <v>0.50000000010000001</v>
          </cell>
          <cell r="C184">
            <v>0</v>
          </cell>
        </row>
        <row r="185">
          <cell r="B185">
            <v>0</v>
          </cell>
          <cell r="C185">
            <v>0</v>
          </cell>
        </row>
        <row r="186">
          <cell r="B186">
            <v>0.5</v>
          </cell>
          <cell r="C186">
            <v>1</v>
          </cell>
        </row>
        <row r="187">
          <cell r="B187">
            <v>0.8</v>
          </cell>
          <cell r="C187">
            <v>2</v>
          </cell>
        </row>
        <row r="188">
          <cell r="B188">
            <v>0</v>
          </cell>
          <cell r="C188">
            <v>3</v>
          </cell>
        </row>
        <row r="189">
          <cell r="B189">
            <v>0.15000000001</v>
          </cell>
          <cell r="C189">
            <v>1.5</v>
          </cell>
        </row>
        <row r="190">
          <cell r="B190">
            <v>0.30000000100000002</v>
          </cell>
          <cell r="C190">
            <v>0</v>
          </cell>
        </row>
        <row r="191">
          <cell r="B191">
            <v>0</v>
          </cell>
          <cell r="C191">
            <v>0</v>
          </cell>
        </row>
        <row r="192">
          <cell r="B192">
            <v>1</v>
          </cell>
          <cell r="C192">
            <v>1.5</v>
          </cell>
        </row>
        <row r="193">
          <cell r="B193">
            <v>3</v>
          </cell>
          <cell r="C193">
            <v>3</v>
          </cell>
        </row>
        <row r="194">
          <cell r="B194" t="str">
            <v>1|将操作风险纳入省级分公司和中心支公司销售、承保、保全部门负责人考核体系</v>
          </cell>
          <cell r="C194">
            <v>4</v>
          </cell>
        </row>
        <row r="195">
          <cell r="B195" t="str">
            <v>2|未将操作风险纳入省级分公司和中心支公司销售、承保、保全部门负责人考核体系</v>
          </cell>
          <cell r="C195">
            <v>0</v>
          </cell>
        </row>
        <row r="196">
          <cell r="B196">
            <v>0</v>
          </cell>
          <cell r="C196">
            <v>0</v>
          </cell>
        </row>
        <row r="197">
          <cell r="B197">
            <v>1</v>
          </cell>
          <cell r="C197">
            <v>1</v>
          </cell>
        </row>
        <row r="198">
          <cell r="B198">
            <v>0</v>
          </cell>
          <cell r="C198">
            <v>0</v>
          </cell>
        </row>
        <row r="199">
          <cell r="B199">
            <v>1</v>
          </cell>
          <cell r="C199">
            <v>2</v>
          </cell>
        </row>
        <row r="200">
          <cell r="B200">
            <v>0</v>
          </cell>
          <cell r="C200">
            <v>2</v>
          </cell>
        </row>
        <row r="201">
          <cell r="B201">
            <v>3.0000000001</v>
          </cell>
          <cell r="C201">
            <v>1</v>
          </cell>
        </row>
        <row r="202">
          <cell r="B202">
            <v>5.00000000001</v>
          </cell>
          <cell r="C202">
            <v>0</v>
          </cell>
        </row>
        <row r="203">
          <cell r="B203" t="str">
            <v>1|公司建立了保险标的生调、体检等核验和风险评估制度，并能严格按制度规定展开核验</v>
          </cell>
          <cell r="C203">
            <v>1</v>
          </cell>
        </row>
        <row r="204">
          <cell r="B204" t="str">
            <v>2|其他情况</v>
          </cell>
          <cell r="C204">
            <v>0</v>
          </cell>
        </row>
        <row r="205">
          <cell r="B205">
            <v>0</v>
          </cell>
          <cell r="C205">
            <v>0</v>
          </cell>
        </row>
        <row r="206">
          <cell r="B206">
            <v>0.70000000000009999</v>
          </cell>
          <cell r="C206">
            <v>0.5</v>
          </cell>
        </row>
        <row r="207">
          <cell r="B207">
            <v>0.80000000000010008</v>
          </cell>
          <cell r="C207">
            <v>1</v>
          </cell>
        </row>
        <row r="208">
          <cell r="B208">
            <v>0.90000000000010005</v>
          </cell>
          <cell r="C208">
            <v>2</v>
          </cell>
        </row>
        <row r="212">
          <cell r="B212">
            <v>0</v>
          </cell>
          <cell r="C212">
            <v>0</v>
          </cell>
        </row>
        <row r="213">
          <cell r="B213">
            <v>0.8</v>
          </cell>
          <cell r="C213">
            <v>1.5</v>
          </cell>
        </row>
        <row r="214">
          <cell r="B214">
            <v>0.9</v>
          </cell>
          <cell r="C214">
            <v>3</v>
          </cell>
        </row>
        <row r="215">
          <cell r="B215">
            <v>0</v>
          </cell>
          <cell r="C215">
            <v>0</v>
          </cell>
        </row>
        <row r="216">
          <cell r="B216">
            <v>0.9</v>
          </cell>
          <cell r="C216">
            <v>1</v>
          </cell>
        </row>
        <row r="217">
          <cell r="B217">
            <v>0.95</v>
          </cell>
          <cell r="C217">
            <v>2</v>
          </cell>
        </row>
        <row r="218">
          <cell r="B218">
            <v>0</v>
          </cell>
          <cell r="C218">
            <v>3</v>
          </cell>
        </row>
        <row r="219">
          <cell r="B219">
            <v>5.0000000001000001E-2</v>
          </cell>
          <cell r="C219">
            <v>1.5</v>
          </cell>
        </row>
        <row r="220">
          <cell r="B220">
            <v>0.10000000000010001</v>
          </cell>
          <cell r="C220">
            <v>0</v>
          </cell>
        </row>
        <row r="221">
          <cell r="B221">
            <v>0</v>
          </cell>
          <cell r="C221">
            <v>3</v>
          </cell>
        </row>
        <row r="222">
          <cell r="B222">
            <v>3.0000000000999998E-2</v>
          </cell>
          <cell r="C222">
            <v>1.5</v>
          </cell>
        </row>
        <row r="223">
          <cell r="B223">
            <v>5.0000000000100006E-2</v>
          </cell>
          <cell r="C223">
            <v>0</v>
          </cell>
        </row>
        <row r="224">
          <cell r="B224">
            <v>0</v>
          </cell>
          <cell r="C224">
            <v>2</v>
          </cell>
        </row>
        <row r="225">
          <cell r="B225">
            <v>1.0000000001000001E-2</v>
          </cell>
          <cell r="C225">
            <v>1</v>
          </cell>
        </row>
        <row r="226">
          <cell r="B226">
            <v>2.00000000001E-2</v>
          </cell>
          <cell r="C226">
            <v>0</v>
          </cell>
        </row>
        <row r="227">
          <cell r="B227" t="str">
            <v>1|评估期，保单质押贷款均通过银行转账支付至投保人银行账户</v>
          </cell>
          <cell r="C227">
            <v>1</v>
          </cell>
        </row>
        <row r="228">
          <cell r="B228" t="str">
            <v>2|其他情况</v>
          </cell>
          <cell r="C228">
            <v>0</v>
          </cell>
        </row>
        <row r="229">
          <cell r="B229" t="str">
            <v>1|评估期各业务条线佣金及手续费均通过系统跟单自动计提</v>
          </cell>
          <cell r="C229">
            <v>2</v>
          </cell>
        </row>
        <row r="230">
          <cell r="B230" t="str">
            <v>2|其他情况</v>
          </cell>
          <cell r="C230">
            <v>0</v>
          </cell>
        </row>
        <row r="231">
          <cell r="B231">
            <v>0</v>
          </cell>
          <cell r="C231">
            <v>10</v>
          </cell>
        </row>
        <row r="232">
          <cell r="B232">
            <v>7</v>
          </cell>
          <cell r="C232">
            <v>5</v>
          </cell>
        </row>
        <row r="233">
          <cell r="B233">
            <v>10.5</v>
          </cell>
          <cell r="C233">
            <v>2</v>
          </cell>
        </row>
        <row r="234">
          <cell r="B234">
            <v>14</v>
          </cell>
          <cell r="C234">
            <v>0</v>
          </cell>
        </row>
        <row r="235">
          <cell r="B235"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cell r="C235">
            <v>10</v>
          </cell>
        </row>
        <row r="236">
          <cell r="B236"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cell r="C236">
            <v>5</v>
          </cell>
        </row>
        <row r="237">
          <cell r="B237" t="str">
            <v>3|其他</v>
          </cell>
          <cell r="C237">
            <v>0</v>
          </cell>
        </row>
        <row r="238">
          <cell r="B238" t="str">
            <v>1|理赔流程中的特殊环节由总公司集中管理，并制定统一的管理流程，其中农业保险报案由省级分公司或总公司集中受理</v>
          </cell>
          <cell r="C238">
            <v>5</v>
          </cell>
        </row>
        <row r="239">
          <cell r="B239" t="str">
            <v>2|其他</v>
          </cell>
          <cell r="C239">
            <v>0</v>
          </cell>
        </row>
        <row r="240">
          <cell r="B240">
            <v>0</v>
          </cell>
          <cell r="C240">
            <v>0</v>
          </cell>
        </row>
        <row r="241">
          <cell r="B241">
            <v>0.9</v>
          </cell>
          <cell r="C241">
            <v>5</v>
          </cell>
        </row>
        <row r="242">
          <cell r="B242">
            <v>0.95</v>
          </cell>
          <cell r="C242">
            <v>10</v>
          </cell>
        </row>
        <row r="243">
          <cell r="B243">
            <v>0</v>
          </cell>
          <cell r="C243">
            <v>8</v>
          </cell>
        </row>
        <row r="244">
          <cell r="B244">
            <v>3.0000000000009998E-2</v>
          </cell>
          <cell r="C244">
            <v>4</v>
          </cell>
        </row>
        <row r="245">
          <cell r="B245">
            <v>5.0000000000001002E-2</v>
          </cell>
          <cell r="C245">
            <v>0</v>
          </cell>
        </row>
        <row r="246">
          <cell r="B246">
            <v>0</v>
          </cell>
          <cell r="C246">
            <v>7</v>
          </cell>
        </row>
        <row r="247">
          <cell r="B247">
            <v>1.0000000000100001E-3</v>
          </cell>
          <cell r="C247">
            <v>3</v>
          </cell>
        </row>
        <row r="248">
          <cell r="B248">
            <v>2.0000000000010001E-3</v>
          </cell>
          <cell r="C248">
            <v>0</v>
          </cell>
        </row>
        <row r="249">
          <cell r="B249" t="str">
            <v>I类公司</v>
          </cell>
          <cell r="C249">
            <v>20</v>
          </cell>
        </row>
        <row r="250">
          <cell r="B250" t="str">
            <v>II类公司</v>
          </cell>
          <cell r="C250">
            <v>20</v>
          </cell>
        </row>
        <row r="251">
          <cell r="B251">
            <v>-10000000000</v>
          </cell>
          <cell r="C251">
            <v>5</v>
          </cell>
        </row>
        <row r="252">
          <cell r="B252">
            <v>-0.08</v>
          </cell>
          <cell r="C252">
            <v>10</v>
          </cell>
        </row>
        <row r="253">
          <cell r="B253">
            <v>-0.05</v>
          </cell>
          <cell r="C253">
            <v>20</v>
          </cell>
        </row>
        <row r="254">
          <cell r="B254">
            <v>5.0000000010000004E-2</v>
          </cell>
          <cell r="C254">
            <v>10</v>
          </cell>
        </row>
        <row r="255">
          <cell r="B255">
            <v>8.0000000000100005E-2</v>
          </cell>
          <cell r="C255">
            <v>0</v>
          </cell>
        </row>
        <row r="256">
          <cell r="B256">
            <v>-10000000000</v>
          </cell>
          <cell r="C256">
            <v>5</v>
          </cell>
        </row>
        <row r="257">
          <cell r="B257">
            <v>-0.15</v>
          </cell>
          <cell r="C257">
            <v>10</v>
          </cell>
        </row>
        <row r="258">
          <cell r="B258">
            <v>-0.1</v>
          </cell>
          <cell r="C258">
            <v>20</v>
          </cell>
        </row>
        <row r="259">
          <cell r="B259">
            <v>0.1</v>
          </cell>
          <cell r="C259">
            <v>10</v>
          </cell>
        </row>
        <row r="260">
          <cell r="B260">
            <v>0.15</v>
          </cell>
          <cell r="C260">
            <v>0</v>
          </cell>
        </row>
        <row r="261">
          <cell r="B261">
            <v>0</v>
          </cell>
          <cell r="C261">
            <v>10</v>
          </cell>
        </row>
        <row r="262">
          <cell r="B262">
            <v>3.0000000000009998E-2</v>
          </cell>
          <cell r="C262">
            <v>5</v>
          </cell>
        </row>
        <row r="263">
          <cell r="B263">
            <v>5.0000000000001002E-2</v>
          </cell>
          <cell r="C263">
            <v>0</v>
          </cell>
        </row>
        <row r="264">
          <cell r="B264">
            <v>0</v>
          </cell>
          <cell r="C264">
            <v>0</v>
          </cell>
        </row>
        <row r="265">
          <cell r="B265">
            <v>0.85</v>
          </cell>
          <cell r="C265">
            <v>5</v>
          </cell>
        </row>
        <row r="266">
          <cell r="B266">
            <v>0.9</v>
          </cell>
          <cell r="C266">
            <v>10</v>
          </cell>
        </row>
        <row r="267">
          <cell r="B267">
            <v>0</v>
          </cell>
          <cell r="C267">
            <v>0</v>
          </cell>
        </row>
        <row r="268">
          <cell r="B268">
            <v>0.6</v>
          </cell>
          <cell r="C268">
            <v>5</v>
          </cell>
        </row>
        <row r="269">
          <cell r="B269">
            <v>0.7</v>
          </cell>
          <cell r="C269">
            <v>10</v>
          </cell>
        </row>
        <row r="270">
          <cell r="B270" t="str">
            <v>1|理赔系统中开发独立的反欺诈模块</v>
          </cell>
          <cell r="C270">
            <v>10</v>
          </cell>
        </row>
        <row r="271">
          <cell r="B271" t="str">
            <v>2|未开发独立系统模块，但建立了独立的反欺诈机制</v>
          </cell>
          <cell r="C271">
            <v>5</v>
          </cell>
        </row>
        <row r="272">
          <cell r="B272" t="str">
            <v>3|其他</v>
          </cell>
          <cell r="C272">
            <v>0</v>
          </cell>
        </row>
        <row r="273">
          <cell r="B273">
            <v>0</v>
          </cell>
          <cell r="C273">
            <v>-1</v>
          </cell>
        </row>
        <row r="274">
          <cell r="B274">
            <v>5</v>
          </cell>
          <cell r="C274">
            <v>0</v>
          </cell>
        </row>
        <row r="275">
          <cell r="B275">
            <v>5.0000000001</v>
          </cell>
          <cell r="C275">
            <v>1</v>
          </cell>
        </row>
        <row r="276">
          <cell r="B276">
            <v>0</v>
          </cell>
          <cell r="C276">
            <v>-2</v>
          </cell>
        </row>
        <row r="277">
          <cell r="B277">
            <v>5</v>
          </cell>
          <cell r="C277">
            <v>0</v>
          </cell>
        </row>
        <row r="278">
          <cell r="B278">
            <v>5.0000000001</v>
          </cell>
          <cell r="C278">
            <v>2</v>
          </cell>
        </row>
        <row r="279">
          <cell r="B279">
            <v>0</v>
          </cell>
          <cell r="C279">
            <v>-0.8</v>
          </cell>
        </row>
        <row r="280">
          <cell r="B280">
            <v>5</v>
          </cell>
          <cell r="C280">
            <v>0</v>
          </cell>
        </row>
        <row r="281">
          <cell r="B281">
            <v>5.0000000001</v>
          </cell>
          <cell r="C281">
            <v>0.8</v>
          </cell>
        </row>
        <row r="282">
          <cell r="B282" t="str">
            <v>1|保险公司建立农业保险内部稽核制度，根据《农业保险条例》、有关监管规定以及公司内控制度，定期对分支机构农业保险业务进行核查，并将核查结果及时报告保险监管部门</v>
          </cell>
          <cell r="C282">
            <v>3</v>
          </cell>
        </row>
        <row r="283">
          <cell r="B283" t="str">
            <v>2|保险公司建立了农业保险内部稽核制度，定期对分支机构农业保险业务进行核查，但未将核查结果及时报告保险监管部门</v>
          </cell>
          <cell r="C283">
            <v>2</v>
          </cell>
        </row>
        <row r="284">
          <cell r="B284" t="str">
            <v>3|保险公司建立了农业保险内部稽核制度，但未对分支机构农业保险业务进行核查</v>
          </cell>
          <cell r="C284">
            <v>1</v>
          </cell>
        </row>
        <row r="285">
          <cell r="B285" t="str">
            <v>4|保险公司未建立农业保险内部稽核制度</v>
          </cell>
          <cell r="C285">
            <v>0</v>
          </cell>
        </row>
        <row r="286">
          <cell r="B286">
            <v>0</v>
          </cell>
          <cell r="C286">
            <v>0</v>
          </cell>
        </row>
        <row r="287">
          <cell r="B287">
            <v>5.0000000000099999E-3</v>
          </cell>
          <cell r="C287">
            <v>3</v>
          </cell>
        </row>
        <row r="288">
          <cell r="B288">
            <v>1.00000000001E-2</v>
          </cell>
          <cell r="C288">
            <v>5</v>
          </cell>
        </row>
        <row r="289">
          <cell r="B289">
            <v>0</v>
          </cell>
          <cell r="C289">
            <v>5</v>
          </cell>
        </row>
        <row r="290">
          <cell r="B290">
            <v>85</v>
          </cell>
          <cell r="C290">
            <v>4</v>
          </cell>
        </row>
        <row r="291">
          <cell r="B291">
            <v>125</v>
          </cell>
          <cell r="C291">
            <v>3</v>
          </cell>
        </row>
        <row r="292">
          <cell r="B292">
            <v>150</v>
          </cell>
          <cell r="C292">
            <v>2</v>
          </cell>
        </row>
        <row r="293">
          <cell r="B293">
            <v>0</v>
          </cell>
          <cell r="C293">
            <v>5</v>
          </cell>
        </row>
        <row r="294">
          <cell r="B294">
            <v>85</v>
          </cell>
          <cell r="C294">
            <v>4</v>
          </cell>
        </row>
        <row r="295">
          <cell r="B295">
            <v>125</v>
          </cell>
          <cell r="C295">
            <v>3</v>
          </cell>
        </row>
        <row r="296">
          <cell r="B296">
            <v>150</v>
          </cell>
          <cell r="C296">
            <v>2</v>
          </cell>
        </row>
        <row r="297">
          <cell r="B297">
            <v>0</v>
          </cell>
          <cell r="C297">
            <v>2</v>
          </cell>
        </row>
        <row r="298">
          <cell r="B298">
            <v>0.85</v>
          </cell>
          <cell r="C298">
            <v>3</v>
          </cell>
        </row>
        <row r="299">
          <cell r="B299">
            <v>1.25</v>
          </cell>
          <cell r="C299">
            <v>4</v>
          </cell>
        </row>
        <row r="300">
          <cell r="B300">
            <v>1.5</v>
          </cell>
          <cell r="C300">
            <v>5</v>
          </cell>
        </row>
        <row r="301">
          <cell r="B301">
            <v>0</v>
          </cell>
          <cell r="C301">
            <v>2</v>
          </cell>
        </row>
        <row r="302">
          <cell r="B302">
            <v>0.85</v>
          </cell>
          <cell r="C302">
            <v>3</v>
          </cell>
        </row>
        <row r="303">
          <cell r="B303">
            <v>1.25</v>
          </cell>
          <cell r="C303">
            <v>4</v>
          </cell>
        </row>
        <row r="304">
          <cell r="B304">
            <v>1.5</v>
          </cell>
          <cell r="C304">
            <v>5</v>
          </cell>
        </row>
        <row r="305">
          <cell r="B305">
            <v>0</v>
          </cell>
          <cell r="C305">
            <v>4</v>
          </cell>
        </row>
        <row r="306">
          <cell r="B306">
            <v>8.0000000000099991</v>
          </cell>
          <cell r="C306">
            <v>4</v>
          </cell>
        </row>
        <row r="307">
          <cell r="B307">
            <v>0</v>
          </cell>
          <cell r="C307">
            <v>4</v>
          </cell>
        </row>
        <row r="308">
          <cell r="B308">
            <v>8.0000000000000995</v>
          </cell>
          <cell r="C308">
            <v>2</v>
          </cell>
        </row>
        <row r="309">
          <cell r="B309">
            <v>15.000000000000011</v>
          </cell>
          <cell r="C309">
            <v>1</v>
          </cell>
        </row>
        <row r="310">
          <cell r="B310">
            <v>0</v>
          </cell>
          <cell r="C310">
            <v>4</v>
          </cell>
        </row>
        <row r="311">
          <cell r="B311">
            <v>5.0000000000001004</v>
          </cell>
          <cell r="C311">
            <v>3</v>
          </cell>
        </row>
        <row r="312">
          <cell r="B312">
            <v>8.0000000000000107</v>
          </cell>
          <cell r="C312">
            <v>2</v>
          </cell>
        </row>
        <row r="313">
          <cell r="B313">
            <v>15.000000000000011</v>
          </cell>
          <cell r="C313">
            <v>1</v>
          </cell>
        </row>
        <row r="314">
          <cell r="B314">
            <v>0</v>
          </cell>
          <cell r="C314">
            <v>6</v>
          </cell>
        </row>
        <row r="315">
          <cell r="B315">
            <v>10</v>
          </cell>
          <cell r="C315">
            <v>6</v>
          </cell>
        </row>
        <row r="316">
          <cell r="B316">
            <v>0</v>
          </cell>
          <cell r="C316">
            <v>6</v>
          </cell>
        </row>
        <row r="317">
          <cell r="B317">
            <v>10.000000000000099</v>
          </cell>
          <cell r="C317">
            <v>2</v>
          </cell>
        </row>
        <row r="318">
          <cell r="B318">
            <v>15.000000000000011</v>
          </cell>
          <cell r="C318">
            <v>0</v>
          </cell>
        </row>
        <row r="319">
          <cell r="B319">
            <v>0</v>
          </cell>
          <cell r="C319">
            <v>6</v>
          </cell>
        </row>
        <row r="320">
          <cell r="B320">
            <v>3.0000000000000999</v>
          </cell>
          <cell r="C320">
            <v>4</v>
          </cell>
        </row>
        <row r="321">
          <cell r="B321">
            <v>10.000000000000011</v>
          </cell>
          <cell r="C321">
            <v>2</v>
          </cell>
        </row>
        <row r="322">
          <cell r="B322">
            <v>15.000000000000011</v>
          </cell>
          <cell r="C322">
            <v>0</v>
          </cell>
        </row>
        <row r="323">
          <cell r="B323">
            <v>0</v>
          </cell>
          <cell r="C323">
            <v>4</v>
          </cell>
        </row>
        <row r="324">
          <cell r="B324">
            <v>2</v>
          </cell>
          <cell r="C324">
            <v>4</v>
          </cell>
        </row>
        <row r="325">
          <cell r="B325">
            <v>0</v>
          </cell>
          <cell r="C325">
            <v>4</v>
          </cell>
        </row>
        <row r="326">
          <cell r="B326">
            <v>2.0000000000000999</v>
          </cell>
          <cell r="C326">
            <v>2</v>
          </cell>
        </row>
        <row r="327">
          <cell r="B327">
            <v>3.0000000000000102</v>
          </cell>
          <cell r="C327">
            <v>1</v>
          </cell>
        </row>
        <row r="328">
          <cell r="B328">
            <v>0</v>
          </cell>
          <cell r="C328">
            <v>4</v>
          </cell>
        </row>
        <row r="329">
          <cell r="B329">
            <v>2.0000000000000999</v>
          </cell>
          <cell r="C329">
            <v>3</v>
          </cell>
        </row>
        <row r="330">
          <cell r="B330">
            <v>2.0000000000000102</v>
          </cell>
          <cell r="C330">
            <v>2</v>
          </cell>
        </row>
        <row r="331">
          <cell r="B331">
            <v>3.0000000000000102</v>
          </cell>
          <cell r="C331">
            <v>1</v>
          </cell>
        </row>
        <row r="332">
          <cell r="B332">
            <v>0</v>
          </cell>
          <cell r="C332">
            <v>6</v>
          </cell>
        </row>
        <row r="333">
          <cell r="B333">
            <v>5</v>
          </cell>
          <cell r="C333">
            <v>6</v>
          </cell>
        </row>
        <row r="334">
          <cell r="B334">
            <v>0</v>
          </cell>
          <cell r="C334">
            <v>6</v>
          </cell>
        </row>
        <row r="335">
          <cell r="B335">
            <v>5.0000000000001004</v>
          </cell>
          <cell r="C335">
            <v>2</v>
          </cell>
        </row>
        <row r="336">
          <cell r="B336">
            <v>10.000000000000011</v>
          </cell>
          <cell r="C336">
            <v>0</v>
          </cell>
        </row>
        <row r="337">
          <cell r="B337">
            <v>0</v>
          </cell>
          <cell r="C337">
            <v>6</v>
          </cell>
        </row>
        <row r="338">
          <cell r="B338">
            <v>5.0000000000001004</v>
          </cell>
          <cell r="C338">
            <v>4</v>
          </cell>
        </row>
        <row r="339">
          <cell r="B339">
            <v>5.0000000000000098</v>
          </cell>
          <cell r="C339">
            <v>2</v>
          </cell>
        </row>
        <row r="340">
          <cell r="B340">
            <v>10.000000000000011</v>
          </cell>
          <cell r="C340">
            <v>0</v>
          </cell>
        </row>
        <row r="341">
          <cell r="B341">
            <v>0</v>
          </cell>
          <cell r="C341">
            <v>7</v>
          </cell>
        </row>
        <row r="342">
          <cell r="B342">
            <v>10</v>
          </cell>
          <cell r="C342">
            <v>7</v>
          </cell>
        </row>
        <row r="343">
          <cell r="B343">
            <v>0</v>
          </cell>
          <cell r="C343">
            <v>7</v>
          </cell>
        </row>
        <row r="344">
          <cell r="B344">
            <v>10.000000000000099</v>
          </cell>
          <cell r="C344">
            <v>3</v>
          </cell>
        </row>
        <row r="345">
          <cell r="B345">
            <v>15.000000000000011</v>
          </cell>
          <cell r="C345">
            <v>0</v>
          </cell>
        </row>
        <row r="346">
          <cell r="B346">
            <v>0</v>
          </cell>
          <cell r="C346">
            <v>7</v>
          </cell>
        </row>
        <row r="347">
          <cell r="B347">
            <v>10.000000000000099</v>
          </cell>
          <cell r="C347">
            <v>5</v>
          </cell>
        </row>
        <row r="348">
          <cell r="B348">
            <v>10.000000000000011</v>
          </cell>
          <cell r="C348">
            <v>3</v>
          </cell>
        </row>
        <row r="349">
          <cell r="B349">
            <v>15.000000000000011</v>
          </cell>
          <cell r="C349">
            <v>0</v>
          </cell>
        </row>
        <row r="350">
          <cell r="B350">
            <v>1</v>
          </cell>
          <cell r="C350">
            <v>0</v>
          </cell>
        </row>
        <row r="351">
          <cell r="B351">
            <v>20</v>
          </cell>
          <cell r="C351">
            <v>2</v>
          </cell>
        </row>
        <row r="352">
          <cell r="B352">
            <v>40</v>
          </cell>
          <cell r="C352">
            <v>4</v>
          </cell>
        </row>
        <row r="353">
          <cell r="B353">
            <v>60</v>
          </cell>
          <cell r="C353">
            <v>6</v>
          </cell>
        </row>
        <row r="354">
          <cell r="B354">
            <v>80</v>
          </cell>
          <cell r="C354">
            <v>8</v>
          </cell>
        </row>
        <row r="355">
          <cell r="B355">
            <v>1</v>
          </cell>
          <cell r="C355">
            <v>0</v>
          </cell>
        </row>
        <row r="356">
          <cell r="B356">
            <v>20</v>
          </cell>
          <cell r="C356">
            <v>2</v>
          </cell>
        </row>
        <row r="357">
          <cell r="B357">
            <v>40</v>
          </cell>
          <cell r="C357">
            <v>4</v>
          </cell>
        </row>
        <row r="358">
          <cell r="B358">
            <v>60</v>
          </cell>
          <cell r="C358">
            <v>6</v>
          </cell>
        </row>
        <row r="359">
          <cell r="B359">
            <v>80</v>
          </cell>
          <cell r="C359">
            <v>8</v>
          </cell>
        </row>
        <row r="360">
          <cell r="B360">
            <v>0</v>
          </cell>
          <cell r="C360">
            <v>0</v>
          </cell>
        </row>
        <row r="361">
          <cell r="B361">
            <v>0.5</v>
          </cell>
          <cell r="C361">
            <v>2</v>
          </cell>
        </row>
        <row r="362">
          <cell r="B362">
            <v>0.8</v>
          </cell>
          <cell r="C362">
            <v>5</v>
          </cell>
        </row>
        <row r="363">
          <cell r="B363">
            <v>0</v>
          </cell>
          <cell r="C363">
            <v>3</v>
          </cell>
        </row>
        <row r="364">
          <cell r="B364">
            <v>0.15000000000000099</v>
          </cell>
          <cell r="C364">
            <v>1.5</v>
          </cell>
        </row>
        <row r="365">
          <cell r="B365">
            <v>0.30000000000099997</v>
          </cell>
          <cell r="C365">
            <v>0</v>
          </cell>
        </row>
        <row r="369">
          <cell r="B369" t="str">
            <v>1|省级分公司和中心支公司理赔部门负责人的业绩考核与操作风险相挂钩</v>
          </cell>
          <cell r="C369">
            <v>4</v>
          </cell>
        </row>
        <row r="370">
          <cell r="B370" t="str">
            <v>2|省级分公司和中心支公司理赔部门负责人的业绩考核与操作风险未挂钩</v>
          </cell>
          <cell r="C370">
            <v>0</v>
          </cell>
        </row>
        <row r="371">
          <cell r="B371" t="str">
            <v>1|公司对分支机构实行分类授权理赔管理，根据赔案类型，理赔工作环节，分支机构经营管理水平、风险控制能力及服务需求，理赔人员专业技能、考试评级结果等因素，明确各级机构或人员定损权限及核赔权限</v>
          </cell>
          <cell r="C371">
            <v>2</v>
          </cell>
        </row>
        <row r="372">
          <cell r="B372" t="str">
            <v>2|其他情况</v>
          </cell>
          <cell r="C372">
            <v>0</v>
          </cell>
        </row>
        <row r="373">
          <cell r="B373">
            <v>0</v>
          </cell>
          <cell r="C373">
            <v>0</v>
          </cell>
        </row>
        <row r="374">
          <cell r="B374">
            <v>0.9</v>
          </cell>
          <cell r="C374">
            <v>2</v>
          </cell>
        </row>
        <row r="375">
          <cell r="B375">
            <v>0</v>
          </cell>
          <cell r="C375">
            <v>0</v>
          </cell>
        </row>
        <row r="376">
          <cell r="B376">
            <v>0.9</v>
          </cell>
          <cell r="C376">
            <v>1</v>
          </cell>
        </row>
        <row r="377">
          <cell r="B377">
            <v>0.95</v>
          </cell>
          <cell r="C377">
            <v>3</v>
          </cell>
        </row>
        <row r="378">
          <cell r="B378">
            <v>0</v>
          </cell>
          <cell r="C378">
            <v>3</v>
          </cell>
        </row>
        <row r="379">
          <cell r="B379">
            <v>10.000000000001</v>
          </cell>
          <cell r="C379">
            <v>1</v>
          </cell>
        </row>
        <row r="380">
          <cell r="B380">
            <v>15.000000000000099</v>
          </cell>
          <cell r="C380">
            <v>0</v>
          </cell>
        </row>
        <row r="381">
          <cell r="B381">
            <v>0</v>
          </cell>
          <cell r="C381">
            <v>0</v>
          </cell>
        </row>
        <row r="382">
          <cell r="B382">
            <v>0.9</v>
          </cell>
          <cell r="C382">
            <v>1</v>
          </cell>
        </row>
        <row r="383">
          <cell r="B383">
            <v>0.95</v>
          </cell>
          <cell r="C383">
            <v>3</v>
          </cell>
        </row>
        <row r="384">
          <cell r="B384">
            <v>0</v>
          </cell>
          <cell r="C384">
            <v>3</v>
          </cell>
        </row>
        <row r="385">
          <cell r="B385">
            <v>0.10000000000100001</v>
          </cell>
          <cell r="C385">
            <v>1.5</v>
          </cell>
        </row>
        <row r="386">
          <cell r="B386">
            <v>0.1500000000001</v>
          </cell>
          <cell r="C386">
            <v>0</v>
          </cell>
        </row>
        <row r="387">
          <cell r="B387">
            <v>0</v>
          </cell>
          <cell r="C387">
            <v>5</v>
          </cell>
        </row>
        <row r="388">
          <cell r="B388">
            <v>3.0000000000010001</v>
          </cell>
          <cell r="C388">
            <v>2</v>
          </cell>
        </row>
        <row r="389">
          <cell r="B389">
            <v>5.0000000000001004</v>
          </cell>
          <cell r="C389">
            <v>0</v>
          </cell>
        </row>
        <row r="390">
          <cell r="B390" t="str">
            <v>1|公司理赔信息系统设置了反欺诈识别提醒功能，对出险时间与起保或终止时间接近、保险年度内索赔次数异常等情况进行提示的，对重点领域和环节设立欺诈案件和可疑赔案筛查功能</v>
          </cell>
          <cell r="C390">
            <v>2</v>
          </cell>
        </row>
        <row r="391">
          <cell r="B391" t="str">
            <v>2|其他情况</v>
          </cell>
          <cell r="C391">
            <v>0</v>
          </cell>
        </row>
        <row r="392">
          <cell r="B392" t="str">
            <v>1|公司理赔信息系统与接报案系统对接，理赔信息系统中报案时间由接报案系统直接导入，报案时间无法手工修改</v>
          </cell>
          <cell r="C392">
            <v>1</v>
          </cell>
        </row>
        <row r="393">
          <cell r="B393" t="str">
            <v>2|其他情况</v>
          </cell>
          <cell r="C393">
            <v>0</v>
          </cell>
        </row>
        <row r="394">
          <cell r="B394">
            <v>0</v>
          </cell>
          <cell r="C394">
            <v>10</v>
          </cell>
        </row>
        <row r="395">
          <cell r="B395">
            <v>2</v>
          </cell>
          <cell r="C395">
            <v>5</v>
          </cell>
        </row>
        <row r="396">
          <cell r="B396">
            <v>3</v>
          </cell>
          <cell r="C396">
            <v>2</v>
          </cell>
        </row>
        <row r="397">
          <cell r="B397">
            <v>4</v>
          </cell>
          <cell r="C397">
            <v>0</v>
          </cell>
        </row>
        <row r="398">
          <cell r="B398">
            <v>0</v>
          </cell>
          <cell r="C398">
            <v>0</v>
          </cell>
        </row>
        <row r="399">
          <cell r="B399">
            <v>0.5</v>
          </cell>
          <cell r="C399">
            <v>2</v>
          </cell>
        </row>
        <row r="400">
          <cell r="B400">
            <v>0.8</v>
          </cell>
          <cell r="C400">
            <v>5</v>
          </cell>
        </row>
        <row r="401">
          <cell r="B401">
            <v>0</v>
          </cell>
          <cell r="C401">
            <v>3</v>
          </cell>
        </row>
        <row r="402">
          <cell r="B402">
            <v>0.15000000000000099</v>
          </cell>
          <cell r="C402">
            <v>1.5</v>
          </cell>
        </row>
        <row r="403">
          <cell r="B403">
            <v>0.30000000000099997</v>
          </cell>
          <cell r="C403">
            <v>0</v>
          </cell>
        </row>
        <row r="407">
          <cell r="B407" t="str">
            <v>1|省级分公司和中心支公司理赔部门负责人的业绩考核与操作风险相挂钩</v>
          </cell>
          <cell r="C407">
            <v>4</v>
          </cell>
        </row>
        <row r="408">
          <cell r="B408" t="str">
            <v>2|省级分公司和中心支公司理赔部门负责人的业绩考核与操作风险未挂钩</v>
          </cell>
          <cell r="C408">
            <v>0</v>
          </cell>
        </row>
        <row r="409">
          <cell r="B409">
            <v>0</v>
          </cell>
          <cell r="C409">
            <v>6</v>
          </cell>
        </row>
        <row r="410">
          <cell r="B410">
            <v>10.000000000001</v>
          </cell>
          <cell r="C410">
            <v>2</v>
          </cell>
        </row>
        <row r="411">
          <cell r="B411">
            <v>15.000000000000099</v>
          </cell>
          <cell r="C411">
            <v>0</v>
          </cell>
        </row>
        <row r="412">
          <cell r="B412">
            <v>0</v>
          </cell>
          <cell r="C412">
            <v>8</v>
          </cell>
        </row>
        <row r="413">
          <cell r="B413">
            <v>2.0000000000000999</v>
          </cell>
          <cell r="C413">
            <v>4</v>
          </cell>
        </row>
        <row r="414">
          <cell r="B414">
            <v>3.00000000001</v>
          </cell>
          <cell r="C414">
            <v>2</v>
          </cell>
        </row>
        <row r="415">
          <cell r="B415">
            <v>4.0000000000010001</v>
          </cell>
          <cell r="C415">
            <v>0</v>
          </cell>
        </row>
        <row r="416">
          <cell r="B416">
            <v>0</v>
          </cell>
          <cell r="C416">
            <v>0</v>
          </cell>
        </row>
        <row r="417">
          <cell r="B417">
            <v>0.9</v>
          </cell>
          <cell r="C417">
            <v>2</v>
          </cell>
        </row>
        <row r="418">
          <cell r="B418">
            <v>0.95</v>
          </cell>
          <cell r="C418">
            <v>6</v>
          </cell>
        </row>
        <row r="419">
          <cell r="B419">
            <v>0</v>
          </cell>
          <cell r="C419">
            <v>4</v>
          </cell>
        </row>
        <row r="420">
          <cell r="B420">
            <v>0.20000000010000002</v>
          </cell>
          <cell r="C420">
            <v>0</v>
          </cell>
        </row>
        <row r="421">
          <cell r="B421" t="str">
            <v>1|公司理赔信息系统设置了反欺诈识别提醒功能，对出险时间与起保或终止时间接近、保险年度内索赔次数异常等情况进行提示的，对重点领域和环节设立欺诈案件和可疑赔案筛查功能</v>
          </cell>
          <cell r="C421">
            <v>2</v>
          </cell>
        </row>
        <row r="422">
          <cell r="B422" t="str">
            <v>2|其他情况</v>
          </cell>
          <cell r="C422">
            <v>0</v>
          </cell>
        </row>
        <row r="423">
          <cell r="B423" t="str">
            <v>1|公司理赔信息系统与接报案系统对接，理赔信息系统中报案时间由接报案系统直接导入，报案时间无法手工修改</v>
          </cell>
          <cell r="C423">
            <v>1</v>
          </cell>
        </row>
        <row r="424">
          <cell r="B424" t="str">
            <v>2|其他情况</v>
          </cell>
          <cell r="C424">
            <v>0</v>
          </cell>
        </row>
        <row r="425">
          <cell r="B425">
            <v>0</v>
          </cell>
          <cell r="C425">
            <v>10</v>
          </cell>
        </row>
        <row r="426">
          <cell r="B426">
            <v>2</v>
          </cell>
          <cell r="C426">
            <v>5</v>
          </cell>
        </row>
        <row r="427">
          <cell r="B427">
            <v>3</v>
          </cell>
          <cell r="C427">
            <v>2</v>
          </cell>
        </row>
        <row r="428">
          <cell r="B428">
            <v>4</v>
          </cell>
          <cell r="C428">
            <v>0</v>
          </cell>
        </row>
        <row r="429">
          <cell r="B429" t="str">
            <v>1|评价期内，保险公司设立了独立的再保险管理部门，部门工作定位准确、内部岗位职责清晰、工作流程及权限设置明确</v>
          </cell>
          <cell r="C429">
            <v>5</v>
          </cell>
        </row>
        <row r="430">
          <cell r="B430" t="str">
            <v>2|评价期内，保险公司未设立独立的再保险管理部门，但公司内部再保险业务相关岗位职责定位准确，再保险业务流程清晰和岗位权限明确</v>
          </cell>
          <cell r="C430">
            <v>2.5</v>
          </cell>
        </row>
        <row r="431">
          <cell r="B431" t="str">
            <v>3|其他</v>
          </cell>
          <cell r="C431">
            <v>0</v>
          </cell>
        </row>
        <row r="432">
          <cell r="B432" t="str">
            <v>1|评价期内，保险公司的再保险分入业务的核保、核赔、会计处理及财务结算由总公司职能部门统一办理，明确规定分支机构不得办理再保险分入业务的核保、核赔、会计处理及财务结算</v>
          </cell>
          <cell r="C432">
            <v>5</v>
          </cell>
        </row>
        <row r="433">
          <cell r="B433" t="str">
            <v>2|评价期内，保险公司的再保险分入业务的核保、核赔、会计处理及财务结算不是由总公司职能部门统一办理，未明确规定分支机构不得办理再保险分入业务的核保、核赔、会计处理及财务结算</v>
          </cell>
          <cell r="C433">
            <v>0</v>
          </cell>
        </row>
        <row r="434">
          <cell r="B434" t="str">
            <v>1|评价期内，保险公司在符合监管要求的基础上，制定再保险接受人及经纪人资信管理办法并遵照执行，建立再保险接受人及再保险经纪人资信安全清单，并动态更新、跟踪及管理，信息与再保险登记系统同步</v>
          </cell>
          <cell r="C434">
            <v>4</v>
          </cell>
        </row>
        <row r="435">
          <cell r="B435" t="str">
            <v>2|评价期内，保险公司未在符合监管要求的基础上，制定再保险接受人及经纪人资信管理办法并遵照执行，建立再保险接受人及再保险经纪人资信安全清单，并动态更新、跟踪及管理，信息与再保险登记系统同步</v>
          </cell>
          <cell r="C435">
            <v>0</v>
          </cell>
        </row>
        <row r="436">
          <cell r="B436" t="str">
            <v>1|评价期内，保险公司根据监管规定及内部管理要求，结合实际情况，建立了再保险接受人信用风险突发应急预案</v>
          </cell>
          <cell r="C436">
            <v>2</v>
          </cell>
        </row>
        <row r="437">
          <cell r="B437" t="str">
            <v>2|评价期内，保险公司未根据监管规定及内部管理要求，结合实际情况，建立再保险接受人信用风险突发应急预案</v>
          </cell>
          <cell r="C437">
            <v>0</v>
          </cell>
        </row>
        <row r="438">
          <cell r="B438" t="str">
            <v>1|评价期内，保险公司需续保的再保合约业务，在到期日之前必须完成下一年度合约安排。或者，合约双方另有约定的，必须在双方约定日期前完成</v>
          </cell>
          <cell r="C438">
            <v>5</v>
          </cell>
        </row>
        <row r="439">
          <cell r="B439" t="str">
            <v>2|评价期内，保险公司需续保的再保合约业务，未在到期日前完成下一年度合约安排。合约双方另有约定的，未在双方约定日期前完成</v>
          </cell>
          <cell r="C439">
            <v>0</v>
          </cell>
        </row>
        <row r="440">
          <cell r="B440" t="str">
            <v>1|评价期内，保险公司建立再保险应收应付款项的管理机制，包括相关管理制度及执行</v>
          </cell>
          <cell r="C440">
            <v>2</v>
          </cell>
        </row>
        <row r="441">
          <cell r="B441" t="str">
            <v>2|评价期内，保险公司未建立再保险应收应付款项的管理机制，包括相关管理制度及执行</v>
          </cell>
          <cell r="C441">
            <v>0</v>
          </cell>
        </row>
        <row r="442">
          <cell r="B442" t="str">
            <v>1|保险公司每一危险单位自留风符合相关法律法规管理规定</v>
          </cell>
          <cell r="C442">
            <v>10</v>
          </cell>
        </row>
        <row r="443">
          <cell r="B443" t="str">
            <v>2|保险公司每一危险单位自留风险不符合相关法律法规管理规定</v>
          </cell>
          <cell r="C443">
            <v>0</v>
          </cell>
        </row>
        <row r="444">
          <cell r="B444" t="str">
            <v>1|保险公司每一危险单位自留风险符合公司内部管理规定</v>
          </cell>
          <cell r="C444">
            <v>5</v>
          </cell>
        </row>
        <row r="445">
          <cell r="B445" t="str">
            <v>2|保险公司每一危险单位自留风险不符合公司内部管理规定</v>
          </cell>
          <cell r="C445">
            <v>0</v>
          </cell>
        </row>
        <row r="446">
          <cell r="B446">
            <v>0</v>
          </cell>
          <cell r="C446">
            <v>0</v>
          </cell>
        </row>
        <row r="447">
          <cell r="B447">
            <v>1</v>
          </cell>
          <cell r="C447">
            <v>1.5</v>
          </cell>
        </row>
        <row r="448">
          <cell r="B448">
            <v>0</v>
          </cell>
          <cell r="C448">
            <v>0</v>
          </cell>
        </row>
        <row r="449">
          <cell r="B449">
            <v>1</v>
          </cell>
          <cell r="C449">
            <v>1.5</v>
          </cell>
        </row>
        <row r="450">
          <cell r="B450" t="str">
            <v>1|再保险系统与业务、财务系统无缝链接，实现数据同步更新</v>
          </cell>
          <cell r="C450">
            <v>2</v>
          </cell>
        </row>
        <row r="451">
          <cell r="B451" t="str">
            <v>2|再保险系统未能与业务、财务系统无缝链接，未能实现数据同步更新</v>
          </cell>
          <cell r="C451">
            <v>0</v>
          </cell>
        </row>
        <row r="452">
          <cell r="B452" t="str">
            <v>1|IT系统模块包括合约、临分、分入、分出、账务、再保人管理等功能，系统功能齐全</v>
          </cell>
          <cell r="C452">
            <v>2</v>
          </cell>
        </row>
        <row r="453">
          <cell r="B453" t="str">
            <v>2|IT系统模块不包括合约、临分、分入、分出、账务、再保人管理等功能，系统功能不齐全</v>
          </cell>
          <cell r="C453">
            <v>0</v>
          </cell>
        </row>
        <row r="454">
          <cell r="B454" t="str">
            <v>1|保险公司IT系统可统计保监会要求上报的各类再保险数据报表</v>
          </cell>
          <cell r="C454">
            <v>2</v>
          </cell>
        </row>
        <row r="455">
          <cell r="B455" t="str">
            <v>2|保险公司IT系统不能统计保监会要求上报的各类再保险数据报表</v>
          </cell>
          <cell r="C455">
            <v>0</v>
          </cell>
        </row>
        <row r="456">
          <cell r="B456" t="str">
            <v>1|再保险IT系统权限管理明晰，核保和再保、经办和复核岗位权限区分明确</v>
          </cell>
          <cell r="C456">
            <v>2</v>
          </cell>
        </row>
        <row r="457">
          <cell r="B457" t="str">
            <v>2|再保险IT系统权限管理不明晰，核保和再保、经办和复核岗位权限区分不明确</v>
          </cell>
          <cell r="C457">
            <v>0</v>
          </cell>
        </row>
        <row r="458">
          <cell r="B458" t="str">
            <v>1|再保系统可在1个账单周期内及时更新核保、理赔、批改等信息，并具有保留修改痕迹，查询修改人和修改时间的功能，账单操作时点和对应原始数据具有留存功能</v>
          </cell>
          <cell r="C458">
            <v>2</v>
          </cell>
        </row>
        <row r="459">
          <cell r="B459" t="str">
            <v>2|再保系统不能在1个账单周期内及时更新核保、理赔、批改等信息，不具有保留修改痕迹，不能查询修改人和修改时间的功能，账单操作时点和对应原始数据不具有留存功能</v>
          </cell>
          <cell r="C459">
            <v>0</v>
          </cell>
        </row>
        <row r="460">
          <cell r="B460">
            <v>0</v>
          </cell>
          <cell r="C460">
            <v>-0.1</v>
          </cell>
        </row>
        <row r="461">
          <cell r="B461">
            <v>5</v>
          </cell>
          <cell r="C461">
            <v>0</v>
          </cell>
        </row>
        <row r="462">
          <cell r="B462">
            <v>5.0000000001</v>
          </cell>
          <cell r="C462">
            <v>0.1</v>
          </cell>
        </row>
        <row r="463">
          <cell r="B463">
            <v>0</v>
          </cell>
          <cell r="C463">
            <v>-0.1</v>
          </cell>
        </row>
        <row r="464">
          <cell r="B464">
            <v>5</v>
          </cell>
          <cell r="C464">
            <v>0</v>
          </cell>
        </row>
        <row r="465">
          <cell r="B465">
            <v>5.0000000010000001</v>
          </cell>
          <cell r="C465">
            <v>0.1</v>
          </cell>
        </row>
        <row r="466">
          <cell r="B466">
            <v>0</v>
          </cell>
          <cell r="C466">
            <v>-0.1</v>
          </cell>
        </row>
        <row r="467">
          <cell r="B467">
            <v>5</v>
          </cell>
          <cell r="C467">
            <v>0</v>
          </cell>
        </row>
        <row r="468">
          <cell r="B468">
            <v>5.0000000001</v>
          </cell>
          <cell r="C468">
            <v>0.1</v>
          </cell>
        </row>
        <row r="469">
          <cell r="B469" t="str">
            <v>I类公司</v>
          </cell>
          <cell r="C469">
            <v>5</v>
          </cell>
        </row>
        <row r="470">
          <cell r="B470" t="str">
            <v>II类公司</v>
          </cell>
          <cell r="C470">
            <v>10</v>
          </cell>
        </row>
        <row r="471">
          <cell r="B471">
            <v>0</v>
          </cell>
          <cell r="C471">
            <v>0</v>
          </cell>
        </row>
        <row r="472">
          <cell r="B472">
            <v>10</v>
          </cell>
          <cell r="C472">
            <v>5</v>
          </cell>
        </row>
        <row r="473">
          <cell r="B473">
            <v>15</v>
          </cell>
          <cell r="C473">
            <v>10</v>
          </cell>
        </row>
        <row r="474">
          <cell r="B474">
            <v>0</v>
          </cell>
          <cell r="C474">
            <v>0</v>
          </cell>
        </row>
        <row r="475">
          <cell r="B475">
            <v>3</v>
          </cell>
          <cell r="C475">
            <v>5</v>
          </cell>
        </row>
        <row r="476">
          <cell r="B476">
            <v>5</v>
          </cell>
          <cell r="C476">
            <v>10</v>
          </cell>
        </row>
        <row r="477">
          <cell r="B477" t="str">
            <v>1|保险公司采用合理方法提取未到期准备金，并进行充足性测试，且充足性测试过程的假设与未决赔款准备金评估以及业务发展趋势一致</v>
          </cell>
          <cell r="C477">
            <v>5</v>
          </cell>
        </row>
        <row r="478">
          <cell r="B478" t="str">
            <v>2|保险公司采用合理方法提取未到期准备金，并进行充足性测试，但充足性测试假设与未决评估及业务发展趋势存在差异</v>
          </cell>
          <cell r="C478">
            <v>3</v>
          </cell>
        </row>
        <row r="479">
          <cell r="B479" t="str">
            <v>3|其他</v>
          </cell>
          <cell r="C479">
            <v>0</v>
          </cell>
        </row>
        <row r="480">
          <cell r="B480" t="str">
            <v>1|保险公司对于已发生未报案未决赔款准备金采用两种以上方法评估，并进行合理性检验</v>
          </cell>
          <cell r="C480">
            <v>10</v>
          </cell>
        </row>
        <row r="481">
          <cell r="B481" t="str">
            <v>2|保险公司对于已发生未报案未决赔款准备金采用两种方法评估，未进行合理性检验</v>
          </cell>
          <cell r="C481">
            <v>5</v>
          </cell>
        </row>
        <row r="482">
          <cell r="B482" t="str">
            <v>3|其他</v>
          </cell>
          <cell r="C482">
            <v>0</v>
          </cell>
        </row>
        <row r="483">
          <cell r="B483" t="str">
            <v>1|保险公司分别建立再保分出前和再保分出后的赔付流量三角形，对分保未决赔款准备金进行评估</v>
          </cell>
          <cell r="C483">
            <v>5</v>
          </cell>
        </row>
        <row r="484">
          <cell r="B484" t="str">
            <v>2|其他</v>
          </cell>
          <cell r="C484">
            <v>0</v>
          </cell>
        </row>
        <row r="485">
          <cell r="B485" t="str">
            <v>1|保险公司准备金核算过程中与财务现有的科目核算无重复或遗漏，精算结果与财务结果有差异时，定期及时更新</v>
          </cell>
          <cell r="C485">
            <v>5</v>
          </cell>
        </row>
        <row r="486">
          <cell r="B486" t="str">
            <v>2|其他</v>
          </cell>
          <cell r="C486">
            <v>0</v>
          </cell>
        </row>
        <row r="487">
          <cell r="B487" t="str">
            <v>1|保险公司准备金核算过程中总部不直接做业务时，未计提准备金，即无冗余</v>
          </cell>
          <cell r="C487">
            <v>5</v>
          </cell>
        </row>
        <row r="488">
          <cell r="B488" t="str">
            <v>2|其他</v>
          </cell>
          <cell r="C488">
            <v>0</v>
          </cell>
        </row>
        <row r="491">
          <cell r="B491">
            <v>-100000</v>
          </cell>
          <cell r="C491">
            <v>30</v>
          </cell>
        </row>
        <row r="492">
          <cell r="B492">
            <v>-2.999999999999E-2</v>
          </cell>
          <cell r="C492">
            <v>40</v>
          </cell>
        </row>
        <row r="493">
          <cell r="B493">
            <v>0</v>
          </cell>
          <cell r="C493">
            <v>0</v>
          </cell>
        </row>
        <row r="494">
          <cell r="B494">
            <v>-100000</v>
          </cell>
          <cell r="C494">
            <v>30</v>
          </cell>
        </row>
        <row r="495">
          <cell r="B495">
            <v>-9.9999999000000006E-2</v>
          </cell>
          <cell r="C495">
            <v>40</v>
          </cell>
        </row>
        <row r="496">
          <cell r="B496">
            <v>0</v>
          </cell>
          <cell r="C496">
            <v>0</v>
          </cell>
        </row>
        <row r="497">
          <cell r="B497" t="str">
            <v>1|保险公司针对准备金管理建立了完善的管理流程与管理制度</v>
          </cell>
          <cell r="C497">
            <v>5</v>
          </cell>
        </row>
        <row r="498">
          <cell r="B498" t="str">
            <v>2|保险公司针对准备金管理建立了较为完善的管理流程与管理制度</v>
          </cell>
          <cell r="C498">
            <v>3</v>
          </cell>
        </row>
        <row r="499">
          <cell r="B499" t="str">
            <v>3|保险公司针对准备金管理建立了管理流程与管理制度，但是有待进一步完善</v>
          </cell>
          <cell r="C499">
            <v>1</v>
          </cell>
        </row>
        <row r="500">
          <cell r="B500" t="str">
            <v>1|底稿内容不完整</v>
          </cell>
          <cell r="C500">
            <v>-1.25</v>
          </cell>
        </row>
        <row r="501">
          <cell r="B501" t="str">
            <v>2|底稿内容完整</v>
          </cell>
          <cell r="C501">
            <v>0</v>
          </cell>
        </row>
        <row r="502">
          <cell r="B502" t="str">
            <v>1|编制频率低于每半年一次</v>
          </cell>
          <cell r="C502">
            <v>-1.25</v>
          </cell>
        </row>
        <row r="503">
          <cell r="B503" t="str">
            <v>2|编制频率不低于每半年一次</v>
          </cell>
          <cell r="C503">
            <v>0</v>
          </cell>
        </row>
        <row r="504">
          <cell r="B504" t="str">
            <v>1|未有效复核</v>
          </cell>
          <cell r="C504">
            <v>-1.25</v>
          </cell>
        </row>
        <row r="505">
          <cell r="B505" t="str">
            <v>2|有效复核</v>
          </cell>
          <cell r="C505">
            <v>0</v>
          </cell>
        </row>
        <row r="506">
          <cell r="B506" t="str">
            <v>1|未有效留存或备份</v>
          </cell>
          <cell r="C506">
            <v>-1.25</v>
          </cell>
        </row>
        <row r="507">
          <cell r="B507" t="str">
            <v>2|有效留存或备份</v>
          </cell>
          <cell r="C507">
            <v>0</v>
          </cell>
        </row>
        <row r="511">
          <cell r="B511">
            <v>0</v>
          </cell>
          <cell r="C511">
            <v>-0.1</v>
          </cell>
        </row>
        <row r="512">
          <cell r="B512">
            <v>20</v>
          </cell>
          <cell r="C512">
            <v>0</v>
          </cell>
        </row>
        <row r="513">
          <cell r="B513">
            <v>20.000000000099998</v>
          </cell>
          <cell r="C513">
            <v>0.1</v>
          </cell>
        </row>
        <row r="514">
          <cell r="B514">
            <v>0</v>
          </cell>
          <cell r="C514">
            <v>-0.1</v>
          </cell>
        </row>
        <row r="515">
          <cell r="B515">
            <v>5</v>
          </cell>
          <cell r="C515">
            <v>0</v>
          </cell>
        </row>
        <row r="516">
          <cell r="B516">
            <v>5.0000000001</v>
          </cell>
          <cell r="C516">
            <v>0.1</v>
          </cell>
        </row>
        <row r="517">
          <cell r="B517">
            <v>0</v>
          </cell>
          <cell r="C517">
            <v>2</v>
          </cell>
        </row>
        <row r="518">
          <cell r="B518">
            <v>0.255</v>
          </cell>
          <cell r="C518">
            <v>4</v>
          </cell>
        </row>
        <row r="519">
          <cell r="B519">
            <v>0.375</v>
          </cell>
          <cell r="C519">
            <v>6</v>
          </cell>
        </row>
        <row r="520">
          <cell r="B520">
            <v>0.44999999999999996</v>
          </cell>
          <cell r="C520">
            <v>8</v>
          </cell>
        </row>
        <row r="521">
          <cell r="B521">
            <v>0</v>
          </cell>
          <cell r="C521">
            <v>1</v>
          </cell>
        </row>
        <row r="522">
          <cell r="B522">
            <v>6</v>
          </cell>
          <cell r="C522">
            <v>3</v>
          </cell>
        </row>
        <row r="523">
          <cell r="B523">
            <v>10.199999999999999</v>
          </cell>
          <cell r="C523">
            <v>5</v>
          </cell>
        </row>
        <row r="524">
          <cell r="B524">
            <v>15</v>
          </cell>
          <cell r="C524">
            <v>7</v>
          </cell>
        </row>
        <row r="525">
          <cell r="B525">
            <v>18</v>
          </cell>
          <cell r="C525">
            <v>9</v>
          </cell>
        </row>
        <row r="526">
          <cell r="B526">
            <v>0</v>
          </cell>
          <cell r="C526">
            <v>9</v>
          </cell>
        </row>
        <row r="527">
          <cell r="B527">
            <v>1</v>
          </cell>
          <cell r="C527">
            <v>5</v>
          </cell>
        </row>
        <row r="528">
          <cell r="B528">
            <v>2</v>
          </cell>
          <cell r="C528">
            <v>1</v>
          </cell>
        </row>
        <row r="529">
          <cell r="B529">
            <v>2.0000000099999999</v>
          </cell>
          <cell r="C529">
            <v>0</v>
          </cell>
        </row>
        <row r="530">
          <cell r="B530">
            <v>0</v>
          </cell>
          <cell r="C530">
            <v>3</v>
          </cell>
        </row>
        <row r="531">
          <cell r="B531">
            <v>0.20399999999999999</v>
          </cell>
          <cell r="C531">
            <v>5</v>
          </cell>
        </row>
        <row r="532">
          <cell r="B532">
            <v>0.3</v>
          </cell>
          <cell r="C532">
            <v>7</v>
          </cell>
        </row>
        <row r="533">
          <cell r="B533">
            <v>0.36</v>
          </cell>
          <cell r="C533">
            <v>9</v>
          </cell>
        </row>
        <row r="534">
          <cell r="B534">
            <v>0</v>
          </cell>
          <cell r="C534">
            <v>0</v>
          </cell>
        </row>
        <row r="535">
          <cell r="B535">
            <v>5</v>
          </cell>
          <cell r="C535">
            <v>1</v>
          </cell>
        </row>
        <row r="536">
          <cell r="B536">
            <v>7</v>
          </cell>
          <cell r="C536">
            <v>2</v>
          </cell>
        </row>
        <row r="537">
          <cell r="B537" t="str">
            <v>1|最近4个季度内资产管理部门负责人未因违法违规受到行政处罚</v>
          </cell>
          <cell r="C537">
            <v>2</v>
          </cell>
        </row>
        <row r="538">
          <cell r="B538" t="str">
            <v>2|最近4个季度内资产管理部门负责人因违法违规受到行政处罚</v>
          </cell>
          <cell r="C538">
            <v>0</v>
          </cell>
        </row>
        <row r="539">
          <cell r="B539">
            <v>0</v>
          </cell>
          <cell r="C539">
            <v>0</v>
          </cell>
        </row>
        <row r="540">
          <cell r="B540">
            <v>3</v>
          </cell>
          <cell r="C540">
            <v>1</v>
          </cell>
        </row>
        <row r="541">
          <cell r="B541">
            <v>5</v>
          </cell>
          <cell r="C541">
            <v>2</v>
          </cell>
        </row>
        <row r="542">
          <cell r="B542" t="str">
            <v>1|资产管理部门在投资研究、资产清算或托管、风险控制、业绩评估、相关保障等环节设置岗位</v>
          </cell>
          <cell r="C542">
            <v>1</v>
          </cell>
        </row>
        <row r="543">
          <cell r="B543" t="str">
            <v>2|资产管理部门未在投资研究、资产清算、托管、风险控制、业绩评估、相关保障等环节设置岗位</v>
          </cell>
          <cell r="C543">
            <v>0</v>
          </cell>
        </row>
        <row r="544">
          <cell r="B544" t="str">
            <v>3|不适用</v>
          </cell>
          <cell r="C544">
            <v>1</v>
          </cell>
        </row>
        <row r="545">
          <cell r="B545" t="str">
            <v>1|资产管理部门除在投资研究、资产清算或托管、风险控制、业绩评估、相关保障等环节设置岗位外，还设置投资、交易等与资金运用业务直接相关的岗位</v>
          </cell>
          <cell r="C545">
            <v>1</v>
          </cell>
        </row>
        <row r="546">
          <cell r="B546" t="str">
            <v>2|资产管理部门未在投资研究、资产清算或托管、风险控制、业绩评估、相关保障等环节设置岗位，也未设置投资、交易等与资金运用业务直接相关的岗位</v>
          </cell>
          <cell r="C546">
            <v>0</v>
          </cell>
        </row>
        <row r="547">
          <cell r="B547" t="str">
            <v>3|不适用</v>
          </cell>
          <cell r="C547">
            <v>1</v>
          </cell>
        </row>
        <row r="548">
          <cell r="B548">
            <v>0</v>
          </cell>
          <cell r="C548">
            <v>0</v>
          </cell>
        </row>
        <row r="549">
          <cell r="B549">
            <v>0.25</v>
          </cell>
          <cell r="C549">
            <v>1</v>
          </cell>
        </row>
        <row r="550">
          <cell r="B550">
            <v>0</v>
          </cell>
          <cell r="C550">
            <v>2</v>
          </cell>
        </row>
        <row r="551">
          <cell r="B551">
            <v>0.2</v>
          </cell>
          <cell r="C551">
            <v>1</v>
          </cell>
        </row>
        <row r="552">
          <cell r="B552">
            <v>0.3</v>
          </cell>
          <cell r="C552">
            <v>0</v>
          </cell>
        </row>
        <row r="557">
          <cell r="B557">
            <v>0</v>
          </cell>
          <cell r="C557">
            <v>0</v>
          </cell>
        </row>
        <row r="558">
          <cell r="B558">
            <v>2</v>
          </cell>
          <cell r="C558">
            <v>1</v>
          </cell>
        </row>
        <row r="559">
          <cell r="B559" t="str">
            <v>1|对投研人员无激励机制或激励机制只与短期（一年及以内）业绩挂钩</v>
          </cell>
          <cell r="C559">
            <v>0</v>
          </cell>
        </row>
        <row r="560">
          <cell r="B560" t="str">
            <v>2|对投研人员的激励机制与长期（一年以上）业绩挂钩</v>
          </cell>
          <cell r="C560">
            <v>1</v>
          </cell>
        </row>
        <row r="561">
          <cell r="B561" t="str">
            <v>3|不适用</v>
          </cell>
          <cell r="C561">
            <v>1</v>
          </cell>
        </row>
        <row r="562">
          <cell r="B562" t="str">
            <v>1|能够提供受托机构相关证明材料</v>
          </cell>
          <cell r="C562">
            <v>1</v>
          </cell>
        </row>
        <row r="563">
          <cell r="B563" t="str">
            <v>2|不能提供受托机构相关证明材料</v>
          </cell>
          <cell r="C563">
            <v>0</v>
          </cell>
        </row>
        <row r="564">
          <cell r="B564" t="str">
            <v>3|不适用</v>
          </cell>
          <cell r="C564">
            <v>1</v>
          </cell>
        </row>
        <row r="565">
          <cell r="B565" t="str">
            <v>1|资金运用风险管理人员激励机制不直接与投资业绩挂钩</v>
          </cell>
          <cell r="C565">
            <v>1</v>
          </cell>
        </row>
        <row r="566">
          <cell r="B566" t="str">
            <v>2|资金运用风险管理人员激励机制直接与投资业绩挂钩</v>
          </cell>
          <cell r="C566">
            <v>0</v>
          </cell>
        </row>
        <row r="567">
          <cell r="B567" t="str">
            <v>3|不适用</v>
          </cell>
          <cell r="C567">
            <v>1</v>
          </cell>
        </row>
        <row r="568">
          <cell r="B568" t="str">
            <v>1|能够提供受托机构相关证明材料</v>
          </cell>
          <cell r="C568">
            <v>1</v>
          </cell>
        </row>
        <row r="569">
          <cell r="B569" t="str">
            <v>2|不能够提供受托机构相关证明材料</v>
          </cell>
          <cell r="C569">
            <v>0</v>
          </cell>
        </row>
        <row r="570">
          <cell r="B570" t="str">
            <v>3|不适用</v>
          </cell>
          <cell r="C570">
            <v>1</v>
          </cell>
        </row>
        <row r="571">
          <cell r="B571" t="str">
            <v>1|业绩考核与操作风险挂钩</v>
          </cell>
          <cell r="C571">
            <v>1</v>
          </cell>
        </row>
        <row r="572">
          <cell r="B572" t="str">
            <v>2|业绩考核不与操作风险挂钩</v>
          </cell>
          <cell r="C572">
            <v>0</v>
          </cell>
        </row>
        <row r="573">
          <cell r="B573" t="str">
            <v>3|不适用</v>
          </cell>
          <cell r="C573">
            <v>1</v>
          </cell>
        </row>
        <row r="574">
          <cell r="B574" t="str">
            <v>1|能够提供受托机构相关证明材料</v>
          </cell>
          <cell r="C574">
            <v>1</v>
          </cell>
        </row>
        <row r="575">
          <cell r="B575" t="str">
            <v>2|不能提供受托机构相关证明材料</v>
          </cell>
          <cell r="C575">
            <v>0</v>
          </cell>
        </row>
        <row r="576">
          <cell r="B576" t="str">
            <v>3|不适用</v>
          </cell>
          <cell r="C576">
            <v>1</v>
          </cell>
        </row>
        <row r="577">
          <cell r="B577" t="str">
            <v>1|建立资金运用操作风险数据库且如实记录操作风险事件</v>
          </cell>
          <cell r="C577">
            <v>5</v>
          </cell>
        </row>
        <row r="578">
          <cell r="B578" t="str">
            <v>2|未建立资金运用操作风险数据库或未如实记录操作风险事件</v>
          </cell>
          <cell r="C578">
            <v>0</v>
          </cell>
        </row>
        <row r="579">
          <cell r="B579" t="str">
            <v>1|保险公司委托投资的，全部建立相关制度</v>
          </cell>
          <cell r="C579">
            <v>1</v>
          </cell>
        </row>
        <row r="580">
          <cell r="B580" t="str">
            <v>2|保险公司委托投资的，未全部建立相关制度</v>
          </cell>
          <cell r="C580">
            <v>0</v>
          </cell>
        </row>
        <row r="581">
          <cell r="B581" t="str">
            <v>3|保险公司未开展委托投资</v>
          </cell>
          <cell r="C581">
            <v>1</v>
          </cell>
        </row>
        <row r="582">
          <cell r="B582" t="str">
            <v>1|委托投资指引达到要求</v>
          </cell>
          <cell r="C582">
            <v>1</v>
          </cell>
        </row>
        <row r="583">
          <cell r="B583" t="str">
            <v>2|委托投资指引未达到要求</v>
          </cell>
          <cell r="C583">
            <v>0</v>
          </cell>
        </row>
        <row r="584">
          <cell r="B584" t="str">
            <v>3|保险公司未开展委托投资</v>
          </cell>
          <cell r="C584">
            <v>1</v>
          </cell>
        </row>
        <row r="585">
          <cell r="B585" t="str">
            <v>1|最近4个季度内对全部投资管理人评估大于1次</v>
          </cell>
          <cell r="C585">
            <v>2</v>
          </cell>
        </row>
        <row r="586">
          <cell r="B586" t="str">
            <v>2|最近4个季度内只对部分投资管理人进行评估</v>
          </cell>
          <cell r="C586">
            <v>1</v>
          </cell>
        </row>
        <row r="587">
          <cell r="B587" t="str">
            <v>3|最近4个季度内未对投资管理人进行评估</v>
          </cell>
          <cell r="C587">
            <v>0</v>
          </cell>
        </row>
        <row r="588">
          <cell r="B588" t="str">
            <v>4|保险公司未开展委托投资</v>
          </cell>
          <cell r="C588">
            <v>2</v>
          </cell>
        </row>
        <row r="589">
          <cell r="B589" t="str">
            <v>1|资产配置压力测试达到要求</v>
          </cell>
          <cell r="C589">
            <v>4</v>
          </cell>
        </row>
        <row r="590">
          <cell r="B590" t="str">
            <v>2|资产配置压力测试未达到要求</v>
          </cell>
          <cell r="C590">
            <v>0</v>
          </cell>
        </row>
        <row r="591">
          <cell r="B591" t="str">
            <v>1|资产配置分账户管理达到要求</v>
          </cell>
          <cell r="C591">
            <v>3</v>
          </cell>
        </row>
        <row r="592">
          <cell r="B592" t="str">
            <v>2|资产配置分账户管理未达到要求</v>
          </cell>
          <cell r="C592">
            <v>0</v>
          </cell>
        </row>
        <row r="593">
          <cell r="B593" t="str">
            <v>3|不适用</v>
          </cell>
          <cell r="C593">
            <v>3</v>
          </cell>
        </row>
        <row r="594">
          <cell r="B594" t="str">
            <v>1|能够提供受托机构相关证明材料</v>
          </cell>
          <cell r="C594">
            <v>3</v>
          </cell>
        </row>
        <row r="595">
          <cell r="B595" t="str">
            <v>2|不能提供受托机构相关证明材料</v>
          </cell>
          <cell r="C595">
            <v>0</v>
          </cell>
        </row>
        <row r="596">
          <cell r="B596" t="str">
            <v>3|不适用</v>
          </cell>
          <cell r="C596">
            <v>3</v>
          </cell>
        </row>
        <row r="597">
          <cell r="B597" t="str">
            <v>1|全部投资资产实施托管</v>
          </cell>
          <cell r="C597">
            <v>5</v>
          </cell>
        </row>
        <row r="598">
          <cell r="B598" t="str">
            <v>2|投资资产部分托管</v>
          </cell>
          <cell r="C598">
            <v>3</v>
          </cell>
        </row>
        <row r="599">
          <cell r="B599" t="str">
            <v>3|投资资产未托管</v>
          </cell>
          <cell r="C599">
            <v>0</v>
          </cell>
        </row>
        <row r="600">
          <cell r="B600" t="str">
            <v>1|具备完善的投资授权制度，建立董事会投资决策委员会体系，决策及批准权限明确</v>
          </cell>
          <cell r="C600">
            <v>1</v>
          </cell>
        </row>
        <row r="601">
          <cell r="B601" t="str">
            <v>2|不具备完善的投资授权制度，未建立董事会投资决策委员会体系，决策及批准权限不明确</v>
          </cell>
          <cell r="C601">
            <v>0</v>
          </cell>
        </row>
        <row r="602">
          <cell r="B602" t="str">
            <v>1|实现决策流程的信息化和自动化，通过信息系统手段实现投资决策流程、次序自动控制</v>
          </cell>
          <cell r="C602">
            <v>1</v>
          </cell>
        </row>
        <row r="603">
          <cell r="B603" t="str">
            <v>2|未实现决策流程的信息化和自动化，未能通过信息系统手段实现投资决策流程、次序自动控制</v>
          </cell>
          <cell r="C603">
            <v>0</v>
          </cell>
        </row>
        <row r="604">
          <cell r="B604" t="str">
            <v>3|不适用</v>
          </cell>
          <cell r="C604">
            <v>1</v>
          </cell>
        </row>
        <row r="605">
          <cell r="B605" t="str">
            <v>1|能够提供受托机构相关证明材料</v>
          </cell>
          <cell r="C605">
            <v>1</v>
          </cell>
        </row>
        <row r="606">
          <cell r="B606" t="str">
            <v>2|不能提供受托机构相关证明材料</v>
          </cell>
          <cell r="C606">
            <v>0</v>
          </cell>
        </row>
        <row r="607">
          <cell r="B607" t="str">
            <v>3|其他</v>
          </cell>
          <cell r="C607">
            <v>1</v>
          </cell>
        </row>
        <row r="608">
          <cell r="B608" t="str">
            <v>1|重要投资决策有相关书面记录，如会议纪要、最终投资决议等，并由决策人在最终投资决议上确认</v>
          </cell>
          <cell r="C608">
            <v>1</v>
          </cell>
        </row>
        <row r="609">
          <cell r="B609" t="str">
            <v>2|重要投资决策没有相关书面记录，如会议纪要、最终投资决议等，或者决策人未在最终投资决议上确认</v>
          </cell>
          <cell r="C609">
            <v>0</v>
          </cell>
        </row>
        <row r="610">
          <cell r="B610" t="str">
            <v>3|不适用</v>
          </cell>
          <cell r="C610">
            <v>1</v>
          </cell>
        </row>
        <row r="611">
          <cell r="B611" t="str">
            <v>1|能够提供受托机构相关证明材料</v>
          </cell>
          <cell r="C611">
            <v>1</v>
          </cell>
        </row>
        <row r="612">
          <cell r="B612" t="str">
            <v>2|不能提供受托机构相关证明材料</v>
          </cell>
          <cell r="C612">
            <v>0</v>
          </cell>
        </row>
        <row r="613">
          <cell r="B613" t="str">
            <v>3|不适用</v>
          </cell>
          <cell r="C613">
            <v>1</v>
          </cell>
        </row>
        <row r="614">
          <cell r="B614" t="str">
            <v>1|构建投资池、备选池和禁投池体系且定期维护</v>
          </cell>
          <cell r="C614">
            <v>1</v>
          </cell>
        </row>
        <row r="615">
          <cell r="B615" t="str">
            <v>2|未构建投资池、备选池和禁投池体系</v>
          </cell>
          <cell r="C615">
            <v>0</v>
          </cell>
        </row>
        <row r="616">
          <cell r="B616" t="str">
            <v>3|未开展股票、债券、开放式基金等投资</v>
          </cell>
          <cell r="C616">
            <v>1</v>
          </cell>
        </row>
        <row r="617">
          <cell r="B617" t="str">
            <v>1|能够提供受托机构相关证明材料</v>
          </cell>
          <cell r="C617">
            <v>1</v>
          </cell>
        </row>
        <row r="618">
          <cell r="B618" t="str">
            <v>2|不能提供受托机构相关证明材料</v>
          </cell>
          <cell r="C618">
            <v>0</v>
          </cell>
        </row>
        <row r="619">
          <cell r="B619" t="str">
            <v>3|不适用</v>
          </cell>
          <cell r="C619">
            <v>1</v>
          </cell>
        </row>
        <row r="620">
          <cell r="B620">
            <v>0</v>
          </cell>
          <cell r="C620">
            <v>5</v>
          </cell>
        </row>
        <row r="621">
          <cell r="B621">
            <v>1</v>
          </cell>
          <cell r="C621">
            <v>3</v>
          </cell>
        </row>
        <row r="622">
          <cell r="B622">
            <v>3</v>
          </cell>
          <cell r="C622">
            <v>0</v>
          </cell>
        </row>
        <row r="623">
          <cell r="B623" t="str">
            <v>1|实行集中交易制度，安装必要的监测系统、预警系统和反馈系统，对交易室通讯设备进行监控</v>
          </cell>
          <cell r="C623">
            <v>2</v>
          </cell>
        </row>
        <row r="624">
          <cell r="B624" t="str">
            <v>2|未实行集中交易制度，未安装必要的监测系统、预警系统和反馈系统，未对交易室通讯设备进行监控</v>
          </cell>
          <cell r="C624">
            <v>0</v>
          </cell>
        </row>
        <row r="625">
          <cell r="B625" t="str">
            <v>3|不适用</v>
          </cell>
          <cell r="C625">
            <v>2</v>
          </cell>
        </row>
        <row r="626">
          <cell r="B626" t="str">
            <v>1|能够提供受托机构相关证明材料</v>
          </cell>
          <cell r="C626">
            <v>2</v>
          </cell>
        </row>
        <row r="627">
          <cell r="B627" t="str">
            <v>2|不能提供受托机构相关证明材料</v>
          </cell>
          <cell r="C627">
            <v>0</v>
          </cell>
        </row>
        <row r="628">
          <cell r="B628" t="str">
            <v>3|不适用</v>
          </cell>
          <cell r="C628">
            <v>2</v>
          </cell>
        </row>
        <row r="629">
          <cell r="B629" t="str">
            <v>1|建立完善的交易记录制度，每日对交易记录及时核对并存档</v>
          </cell>
          <cell r="C629">
            <v>1</v>
          </cell>
        </row>
        <row r="630">
          <cell r="B630" t="str">
            <v>2|未建立完善的交易记录制度，未对交易记录及时核对并存档</v>
          </cell>
          <cell r="C630">
            <v>0</v>
          </cell>
        </row>
        <row r="631">
          <cell r="B631" t="str">
            <v>3|不适用</v>
          </cell>
          <cell r="C631">
            <v>1</v>
          </cell>
        </row>
        <row r="632">
          <cell r="B632" t="str">
            <v>1|能够提供受托机构相关证明材料</v>
          </cell>
          <cell r="C632">
            <v>1</v>
          </cell>
        </row>
        <row r="633">
          <cell r="B633" t="str">
            <v>2|不能提供受托机构相关证明材料</v>
          </cell>
          <cell r="C633">
            <v>0</v>
          </cell>
        </row>
        <row r="634">
          <cell r="B634" t="str">
            <v>3|不适用</v>
          </cell>
          <cell r="C634">
            <v>1</v>
          </cell>
        </row>
        <row r="635">
          <cell r="B635">
            <v>0</v>
          </cell>
          <cell r="C635">
            <v>5</v>
          </cell>
        </row>
        <row r="636">
          <cell r="B636">
            <v>1</v>
          </cell>
          <cell r="C636">
            <v>3</v>
          </cell>
        </row>
        <row r="637">
          <cell r="B637">
            <v>3</v>
          </cell>
          <cell r="C637">
            <v>0</v>
          </cell>
        </row>
        <row r="638">
          <cell r="B638" t="str">
            <v>1|建立会计估值政策与制度规范，估值结果经过复核审查</v>
          </cell>
          <cell r="C638">
            <v>1</v>
          </cell>
        </row>
        <row r="639">
          <cell r="B639" t="str">
            <v>2|未建立会计估值政策与制度规范，估值未经过复核审查</v>
          </cell>
          <cell r="C639">
            <v>0</v>
          </cell>
        </row>
        <row r="640">
          <cell r="B640" t="str">
            <v>3|不适用</v>
          </cell>
          <cell r="C640">
            <v>1</v>
          </cell>
        </row>
        <row r="641">
          <cell r="B641" t="str">
            <v>1|能够提供受托机构相关证明材料</v>
          </cell>
          <cell r="C641">
            <v>1</v>
          </cell>
        </row>
        <row r="642">
          <cell r="B642" t="str">
            <v>2|不能提供受托机构相关证明材料</v>
          </cell>
          <cell r="C642">
            <v>0</v>
          </cell>
        </row>
        <row r="643">
          <cell r="B643" t="str">
            <v>3|不适用</v>
          </cell>
          <cell r="C643">
            <v>1</v>
          </cell>
        </row>
        <row r="644">
          <cell r="B644" t="str">
            <v>1|投资部门的业务交易台账与后台清算记录和资金记录应保持一致，并保留复核纪录，每日完成交易后进行清算和交易信息核对</v>
          </cell>
          <cell r="C644">
            <v>1</v>
          </cell>
        </row>
        <row r="645">
          <cell r="B645" t="str">
            <v>2|投资部门的业务交易台账未能与后台清算记录和资金记录保持一致，未保留复核纪录，每日完成交易后未进行清算和交易信息核对</v>
          </cell>
          <cell r="C645">
            <v>0</v>
          </cell>
        </row>
        <row r="646">
          <cell r="B646" t="str">
            <v>3|不适用</v>
          </cell>
          <cell r="C646">
            <v>1</v>
          </cell>
        </row>
        <row r="647">
          <cell r="B647" t="str">
            <v>1|由投资部门督促检查管理人和托管人的业务交易台账与后台清算记录和资金记录是否保持一致，管理人和托管人每日核对清算和交易信息</v>
          </cell>
          <cell r="C647">
            <v>1</v>
          </cell>
        </row>
        <row r="648">
          <cell r="B648" t="str">
            <v>2|投资部门未督促检查管理人和托管人的业务交易台账与后台清算记录和资金记录是否保持一致，管理人和托管人每日未核对清算和交易信息</v>
          </cell>
          <cell r="C648">
            <v>0</v>
          </cell>
        </row>
        <row r="649">
          <cell r="B649" t="str">
            <v>3|不适用</v>
          </cell>
          <cell r="C649">
            <v>1</v>
          </cell>
        </row>
        <row r="650">
          <cell r="B650">
            <v>0</v>
          </cell>
          <cell r="C650">
            <v>5</v>
          </cell>
        </row>
        <row r="651">
          <cell r="B651">
            <v>1</v>
          </cell>
          <cell r="C651">
            <v>3</v>
          </cell>
        </row>
        <row r="652">
          <cell r="B652">
            <v>3</v>
          </cell>
          <cell r="C652">
            <v>0</v>
          </cell>
        </row>
        <row r="653">
          <cell r="B653">
            <v>0</v>
          </cell>
          <cell r="C653">
            <v>5</v>
          </cell>
        </row>
        <row r="654">
          <cell r="B654">
            <v>1</v>
          </cell>
          <cell r="C654">
            <v>3</v>
          </cell>
        </row>
        <row r="655">
          <cell r="B655">
            <v>3</v>
          </cell>
          <cell r="C655">
            <v>0</v>
          </cell>
        </row>
        <row r="656">
          <cell r="B656" t="str">
            <v>1|建立资金运用信息系统，设定合规性和风险指标阀值，将风险监控的各项要素固化到信息系统之中，实现管理自动化</v>
          </cell>
          <cell r="C656">
            <v>3</v>
          </cell>
        </row>
        <row r="657">
          <cell r="B657" t="str">
            <v>2|建立资金运用信息系统，设定合规性和风险指标阀值，将部分合规性和风险指标阀值设置于信息系统</v>
          </cell>
          <cell r="C657">
            <v>1</v>
          </cell>
        </row>
        <row r="658">
          <cell r="B658" t="str">
            <v>3|未建立资金运用信息系统，未设定合规性和风险指标阀值，未将风险监控的各项要素固化到信息系统之中</v>
          </cell>
          <cell r="C658">
            <v>0</v>
          </cell>
        </row>
        <row r="659">
          <cell r="B659" t="str">
            <v>4|不适用</v>
          </cell>
          <cell r="C659">
            <v>3</v>
          </cell>
        </row>
        <row r="660">
          <cell r="B660" t="str">
            <v>1|能够提供受托机构相关证明材料</v>
          </cell>
          <cell r="C660">
            <v>3</v>
          </cell>
        </row>
        <row r="661">
          <cell r="B661" t="str">
            <v>2|不能提供受托机构相关证明材料</v>
          </cell>
          <cell r="C661">
            <v>0</v>
          </cell>
        </row>
        <row r="662">
          <cell r="B662" t="str">
            <v>3|不适用</v>
          </cell>
          <cell r="C662">
            <v>3</v>
          </cell>
        </row>
        <row r="663">
          <cell r="B663">
            <v>0</v>
          </cell>
          <cell r="C663">
            <v>1</v>
          </cell>
        </row>
        <row r="664">
          <cell r="B664">
            <v>2</v>
          </cell>
          <cell r="C664">
            <v>0</v>
          </cell>
        </row>
        <row r="665">
          <cell r="B665">
            <v>0</v>
          </cell>
          <cell r="C665">
            <v>1</v>
          </cell>
        </row>
        <row r="666">
          <cell r="B666">
            <v>1</v>
          </cell>
          <cell r="C666">
            <v>0</v>
          </cell>
        </row>
        <row r="667">
          <cell r="B667">
            <v>0</v>
          </cell>
          <cell r="C667">
            <v>1</v>
          </cell>
        </row>
        <row r="668">
          <cell r="B668">
            <v>5</v>
          </cell>
          <cell r="C668">
            <v>0</v>
          </cell>
        </row>
        <row r="669">
          <cell r="B669">
            <v>0</v>
          </cell>
          <cell r="C669">
            <v>2</v>
          </cell>
        </row>
        <row r="670">
          <cell r="B670">
            <v>3</v>
          </cell>
          <cell r="C670">
            <v>1</v>
          </cell>
        </row>
        <row r="671">
          <cell r="B671">
            <v>6</v>
          </cell>
          <cell r="C671">
            <v>0</v>
          </cell>
        </row>
        <row r="672">
          <cell r="B672">
            <v>0</v>
          </cell>
          <cell r="C672">
            <v>2</v>
          </cell>
        </row>
        <row r="673">
          <cell r="B673">
            <v>3</v>
          </cell>
          <cell r="C673">
            <v>0</v>
          </cell>
        </row>
        <row r="674">
          <cell r="B674" t="str">
            <v>1|能积极参与、密切跟踪新的资金运用、偿付能力等政策制度，能够及时对新政作出调整资金运用管理流程和经营行为</v>
          </cell>
          <cell r="C674">
            <v>3</v>
          </cell>
        </row>
        <row r="675">
          <cell r="B675" t="str">
            <v>2|未能积极参与、密切跟踪新的资金运用、偿付能力等政策制度，未能及时对新政作出调整资金运用管理流程和经营行为</v>
          </cell>
          <cell r="C675">
            <v>0</v>
          </cell>
        </row>
        <row r="676">
          <cell r="B676" t="str">
            <v>1|对新的资金运用、偿付能力等政策制度，保险公司能够及时对高管、相关部门人员进行培训</v>
          </cell>
          <cell r="C676">
            <v>2</v>
          </cell>
        </row>
        <row r="677">
          <cell r="B677" t="str">
            <v>2|对新的资金运用、偿付能力等政策制度，保险公司未能及时对高管、相关部门人员进行培训</v>
          </cell>
          <cell r="C677">
            <v>0</v>
          </cell>
        </row>
        <row r="678">
          <cell r="B678">
            <v>0</v>
          </cell>
          <cell r="C678">
            <v>0</v>
          </cell>
        </row>
        <row r="679">
          <cell r="B679">
            <v>1</v>
          </cell>
          <cell r="C679">
            <v>-0.5</v>
          </cell>
        </row>
        <row r="680">
          <cell r="B680">
            <v>1.5</v>
          </cell>
          <cell r="C680">
            <v>-1</v>
          </cell>
        </row>
        <row r="681">
          <cell r="B681">
            <v>0</v>
          </cell>
          <cell r="C681">
            <v>0</v>
          </cell>
        </row>
        <row r="682">
          <cell r="B682">
            <v>2</v>
          </cell>
          <cell r="C682">
            <v>-0.5</v>
          </cell>
        </row>
        <row r="683">
          <cell r="B683">
            <v>3</v>
          </cell>
          <cell r="C683">
            <v>-1</v>
          </cell>
        </row>
        <row r="684">
          <cell r="B684">
            <v>0</v>
          </cell>
          <cell r="C684">
            <v>0</v>
          </cell>
        </row>
        <row r="685">
          <cell r="B685">
            <v>3</v>
          </cell>
          <cell r="C685">
            <v>-0.5</v>
          </cell>
        </row>
        <row r="686">
          <cell r="B686">
            <v>4.5</v>
          </cell>
          <cell r="C686">
            <v>-1</v>
          </cell>
        </row>
        <row r="687">
          <cell r="B687">
            <v>0</v>
          </cell>
          <cell r="C687">
            <v>0</v>
          </cell>
        </row>
        <row r="688">
          <cell r="B688">
            <v>4</v>
          </cell>
          <cell r="C688">
            <v>-0.5</v>
          </cell>
        </row>
        <row r="689">
          <cell r="B689">
            <v>6</v>
          </cell>
          <cell r="C689">
            <v>-1</v>
          </cell>
        </row>
        <row r="690">
          <cell r="B690" t="str">
            <v>1|财会部门主要负责人符合专业性要求</v>
          </cell>
          <cell r="C690">
            <v>6</v>
          </cell>
        </row>
        <row r="691">
          <cell r="B691" t="str">
            <v>2|保险公司有多个部门负责财会工作的，所有的部门主要负责人符合专业性要求</v>
          </cell>
          <cell r="C691">
            <v>6</v>
          </cell>
        </row>
        <row r="692">
          <cell r="B692" t="str">
            <v>3|其他</v>
          </cell>
          <cell r="C692">
            <v>0</v>
          </cell>
        </row>
        <row r="693">
          <cell r="B693" t="str">
            <v>I类公司是</v>
          </cell>
          <cell r="C693">
            <v>0</v>
          </cell>
        </row>
        <row r="694">
          <cell r="B694" t="str">
            <v>I类公司否</v>
          </cell>
          <cell r="C694">
            <v>0</v>
          </cell>
        </row>
        <row r="695">
          <cell r="B695" t="str">
            <v>II类公司是</v>
          </cell>
          <cell r="C695">
            <v>0</v>
          </cell>
        </row>
        <row r="696">
          <cell r="B696" t="str">
            <v>II类公司否</v>
          </cell>
          <cell r="C696">
            <v>0</v>
          </cell>
        </row>
        <row r="697">
          <cell r="B697">
            <v>0</v>
          </cell>
          <cell r="C697">
            <v>0</v>
          </cell>
        </row>
        <row r="698">
          <cell r="B698">
            <v>20</v>
          </cell>
          <cell r="C698">
            <v>4</v>
          </cell>
        </row>
        <row r="699">
          <cell r="B699">
            <v>0</v>
          </cell>
          <cell r="C699">
            <v>0</v>
          </cell>
        </row>
        <row r="700">
          <cell r="B700">
            <v>40</v>
          </cell>
          <cell r="C700">
            <v>4</v>
          </cell>
        </row>
        <row r="701">
          <cell r="B701">
            <v>0</v>
          </cell>
          <cell r="C701">
            <v>0</v>
          </cell>
        </row>
        <row r="702">
          <cell r="B702">
            <v>8</v>
          </cell>
          <cell r="C702">
            <v>4</v>
          </cell>
        </row>
        <row r="705">
          <cell r="B705">
            <v>0</v>
          </cell>
          <cell r="C705">
            <v>2</v>
          </cell>
        </row>
        <row r="706">
          <cell r="B706">
            <v>0.20000000009999999</v>
          </cell>
          <cell r="C706">
            <v>0</v>
          </cell>
        </row>
        <row r="707">
          <cell r="B707">
            <v>0</v>
          </cell>
          <cell r="C707">
            <v>0</v>
          </cell>
        </row>
        <row r="708">
          <cell r="B708">
            <v>2</v>
          </cell>
          <cell r="C708">
            <v>4</v>
          </cell>
        </row>
        <row r="709">
          <cell r="B709" t="str">
            <v>1|总公司财会部门负责人和分支机构财会部门负责人的业绩考核与相关操作风险相挂钩</v>
          </cell>
          <cell r="C709">
            <v>4</v>
          </cell>
        </row>
        <row r="710">
          <cell r="B710" t="str">
            <v>2|总公司财会部门负责人和分支机构财会部门负责人的业绩考核不与相关操作风险相挂钩</v>
          </cell>
          <cell r="C710">
            <v>0</v>
          </cell>
        </row>
        <row r="711">
          <cell r="B711" t="str">
            <v>1|建立财务管理操作风险数据库且如实记录操作风险事件</v>
          </cell>
          <cell r="C711">
            <v>5</v>
          </cell>
        </row>
        <row r="712">
          <cell r="B712" t="str">
            <v>2|未建立财务管理操作风险数据库或未如实记录操作风险事件</v>
          </cell>
          <cell r="C712">
            <v>0</v>
          </cell>
        </row>
        <row r="713">
          <cell r="B713" t="str">
            <v>1|保险公司的会计核算在总公司或省级分公司集中处理</v>
          </cell>
          <cell r="C713">
            <v>1</v>
          </cell>
        </row>
        <row r="714">
          <cell r="B714" t="str">
            <v>2|保险公司的会计核算未在总公司和省级分公司集中处理</v>
          </cell>
          <cell r="C714">
            <v>0</v>
          </cell>
        </row>
        <row r="715">
          <cell r="B715">
            <v>0</v>
          </cell>
          <cell r="C715">
            <v>4</v>
          </cell>
        </row>
        <row r="716">
          <cell r="B716">
            <v>2.0000000099999999</v>
          </cell>
          <cell r="C716">
            <v>0</v>
          </cell>
        </row>
        <row r="717">
          <cell r="B717" t="str">
            <v>1|符合要求</v>
          </cell>
          <cell r="C717">
            <v>1</v>
          </cell>
        </row>
        <row r="718">
          <cell r="B718" t="str">
            <v>2|不符合要求</v>
          </cell>
          <cell r="C718">
            <v>0</v>
          </cell>
        </row>
        <row r="719">
          <cell r="B719">
            <v>0</v>
          </cell>
          <cell r="C719">
            <v>0</v>
          </cell>
        </row>
        <row r="720">
          <cell r="B720">
            <v>1E-8</v>
          </cell>
          <cell r="C720">
            <v>-2</v>
          </cell>
        </row>
        <row r="721">
          <cell r="B721">
            <v>2.0000000099999999</v>
          </cell>
          <cell r="C721">
            <v>-5</v>
          </cell>
        </row>
        <row r="722">
          <cell r="B722">
            <v>0</v>
          </cell>
          <cell r="C722">
            <v>0</v>
          </cell>
        </row>
        <row r="723">
          <cell r="B723">
            <v>1</v>
          </cell>
          <cell r="C723">
            <v>-5</v>
          </cell>
        </row>
        <row r="724">
          <cell r="B724">
            <v>0</v>
          </cell>
          <cell r="C724">
            <v>0</v>
          </cell>
        </row>
        <row r="725">
          <cell r="B725">
            <v>1E-8</v>
          </cell>
          <cell r="C725">
            <v>-2</v>
          </cell>
        </row>
        <row r="726">
          <cell r="B726">
            <v>2.0000000099999999</v>
          </cell>
          <cell r="C726">
            <v>-5</v>
          </cell>
        </row>
        <row r="727">
          <cell r="B727">
            <v>0</v>
          </cell>
          <cell r="C727">
            <v>0</v>
          </cell>
        </row>
        <row r="728">
          <cell r="B728">
            <v>1</v>
          </cell>
          <cell r="C728">
            <v>-5</v>
          </cell>
        </row>
        <row r="729">
          <cell r="B729" t="str">
            <v>1|符合要求</v>
          </cell>
          <cell r="C729">
            <v>1</v>
          </cell>
        </row>
        <row r="730">
          <cell r="B730" t="str">
            <v>2|不符合要求</v>
          </cell>
          <cell r="C730">
            <v>0</v>
          </cell>
        </row>
        <row r="731">
          <cell r="B731" t="str">
            <v>1|符合要求</v>
          </cell>
          <cell r="C731">
            <v>1</v>
          </cell>
        </row>
        <row r="732">
          <cell r="B732" t="str">
            <v>2|不符合要求</v>
          </cell>
          <cell r="C732">
            <v>0</v>
          </cell>
        </row>
        <row r="733">
          <cell r="B733">
            <v>0</v>
          </cell>
          <cell r="C733">
            <v>4</v>
          </cell>
        </row>
        <row r="734">
          <cell r="B734">
            <v>1</v>
          </cell>
          <cell r="C734">
            <v>2</v>
          </cell>
        </row>
        <row r="735">
          <cell r="B735">
            <v>3</v>
          </cell>
          <cell r="C735">
            <v>0</v>
          </cell>
        </row>
        <row r="736">
          <cell r="B736" t="str">
            <v>1|单证的领用、核销有专门内控程序和专人负责</v>
          </cell>
          <cell r="C736">
            <v>1</v>
          </cell>
        </row>
        <row r="737">
          <cell r="B737" t="str">
            <v>2|单证的领用、核销无专门内控程序和专人负责</v>
          </cell>
          <cell r="C737">
            <v>0</v>
          </cell>
        </row>
        <row r="738">
          <cell r="B738">
            <v>0</v>
          </cell>
          <cell r="C738">
            <v>3</v>
          </cell>
        </row>
        <row r="739">
          <cell r="B739">
            <v>1E-3</v>
          </cell>
          <cell r="C739">
            <v>0</v>
          </cell>
        </row>
        <row r="740">
          <cell r="B740" t="str">
            <v>1|财务类印章印鉴实行专人管理，且其使用有明确的内部审批流程</v>
          </cell>
          <cell r="C740">
            <v>1</v>
          </cell>
        </row>
        <row r="741">
          <cell r="B741" t="str">
            <v>2|财务类印章印鉴无专人管理，或其使用无明确的内部审批流程</v>
          </cell>
          <cell r="C741">
            <v>0</v>
          </cell>
        </row>
        <row r="742">
          <cell r="B742">
            <v>0</v>
          </cell>
          <cell r="C742">
            <v>3</v>
          </cell>
        </row>
        <row r="743">
          <cell r="B743">
            <v>1</v>
          </cell>
          <cell r="C743">
            <v>1</v>
          </cell>
        </row>
        <row r="744">
          <cell r="B744">
            <v>3</v>
          </cell>
          <cell r="C744">
            <v>0</v>
          </cell>
        </row>
        <row r="745">
          <cell r="B745" t="str">
            <v>I类公司</v>
          </cell>
          <cell r="C745">
            <v>0</v>
          </cell>
        </row>
        <row r="746">
          <cell r="B746" t="str">
            <v>II类公司</v>
          </cell>
          <cell r="C746">
            <v>1</v>
          </cell>
        </row>
        <row r="747">
          <cell r="B747" t="str">
            <v>1|总公司和分公司有专人专岗负责税收管理</v>
          </cell>
          <cell r="C747">
            <v>1</v>
          </cell>
        </row>
        <row r="748">
          <cell r="B748" t="str">
            <v>2|总公司和分公司无专岗但有专人负责税收管理</v>
          </cell>
          <cell r="C748">
            <v>0</v>
          </cell>
        </row>
        <row r="749">
          <cell r="B749" t="str">
            <v>3|其他</v>
          </cell>
          <cell r="C749">
            <v>0</v>
          </cell>
        </row>
        <row r="750">
          <cell r="B750" t="str">
            <v>1|总公司和分公司有专人专岗负责税收管理</v>
          </cell>
          <cell r="C750">
            <v>1</v>
          </cell>
        </row>
        <row r="751">
          <cell r="B751" t="str">
            <v>2|总公司和分公司无专岗但有专人负责税收管理</v>
          </cell>
          <cell r="C751">
            <v>1</v>
          </cell>
        </row>
        <row r="752">
          <cell r="B752" t="str">
            <v>3|其他</v>
          </cell>
          <cell r="C752">
            <v>0</v>
          </cell>
        </row>
        <row r="753">
          <cell r="B753">
            <v>0</v>
          </cell>
          <cell r="C753">
            <v>4</v>
          </cell>
        </row>
        <row r="754">
          <cell r="B754">
            <v>1</v>
          </cell>
          <cell r="C754">
            <v>2</v>
          </cell>
        </row>
        <row r="755">
          <cell r="B755">
            <v>3</v>
          </cell>
          <cell r="C755">
            <v>0</v>
          </cell>
        </row>
        <row r="756">
          <cell r="B756" t="str">
            <v>1|保险公司建立了财务信息系统，实现管理自动化</v>
          </cell>
          <cell r="C756">
            <v>2</v>
          </cell>
        </row>
        <row r="757">
          <cell r="B757" t="str">
            <v>2|保险公司未建立财务信息系统，未实现管理自动化</v>
          </cell>
          <cell r="C757">
            <v>0</v>
          </cell>
        </row>
        <row r="758">
          <cell r="B758">
            <v>0</v>
          </cell>
          <cell r="C758">
            <v>4</v>
          </cell>
        </row>
        <row r="759">
          <cell r="B759">
            <v>3.0000000099999999</v>
          </cell>
          <cell r="C759">
            <v>2</v>
          </cell>
        </row>
        <row r="760">
          <cell r="B760">
            <v>5.0000000099999999</v>
          </cell>
          <cell r="C760">
            <v>0</v>
          </cell>
        </row>
        <row r="761">
          <cell r="B761" t="str">
            <v>1|财务数据由总公司集中存储，分支机构没有修改财务数据权限</v>
          </cell>
          <cell r="C761">
            <v>3</v>
          </cell>
        </row>
        <row r="762">
          <cell r="B762" t="str">
            <v>2|财务数据不是由总公司集中存储，或者分支机构有修改财务数据权限</v>
          </cell>
          <cell r="C762">
            <v>0</v>
          </cell>
        </row>
        <row r="763">
          <cell r="B763" t="str">
            <v>1|核对频率高于等于每周一次</v>
          </cell>
          <cell r="C763">
            <v>3</v>
          </cell>
        </row>
        <row r="764">
          <cell r="B764" t="str">
            <v>2|核对频率低于每周一次但高于等于每月一次</v>
          </cell>
          <cell r="C764">
            <v>1</v>
          </cell>
        </row>
        <row r="765">
          <cell r="B765" t="str">
            <v>3|其他</v>
          </cell>
          <cell r="C765">
            <v>0</v>
          </cell>
        </row>
        <row r="766">
          <cell r="B766">
            <v>0</v>
          </cell>
          <cell r="C766">
            <v>3</v>
          </cell>
        </row>
        <row r="767">
          <cell r="B767" t="str">
            <v>1/10000</v>
          </cell>
          <cell r="C767">
            <v>0</v>
          </cell>
        </row>
        <row r="768">
          <cell r="B768" t="str">
            <v>1|能积极参与、密切跟踪新的会计、税收、财务监管、偿付能力等政策制度，能够及时调整财务管理流程和经营行为</v>
          </cell>
          <cell r="C768">
            <v>3</v>
          </cell>
        </row>
        <row r="769">
          <cell r="B769" t="str">
            <v>2|未能积极参与、密切跟踪新的会计、税收、财务监管、偿付能力等政策制度，未能及时调整财务管理流程和经营行为</v>
          </cell>
          <cell r="C769">
            <v>0</v>
          </cell>
        </row>
        <row r="770">
          <cell r="B770" t="str">
            <v>1|对新的会计、税收、财务监管、偿付能力等政策制度，保险公司能够及时对高管、相关部门人员进行培训</v>
          </cell>
          <cell r="C770">
            <v>2</v>
          </cell>
        </row>
        <row r="771">
          <cell r="B771" t="str">
            <v>2|对新的会计、税收、财务监管、偿付能力等政策制度，保险公司不能及时对高管、相关部门人员进行培训</v>
          </cell>
          <cell r="C771">
            <v>0</v>
          </cell>
        </row>
        <row r="772">
          <cell r="B772">
            <v>0</v>
          </cell>
          <cell r="C772">
            <v>0</v>
          </cell>
        </row>
        <row r="773">
          <cell r="B773">
            <v>5</v>
          </cell>
          <cell r="C773">
            <v>5</v>
          </cell>
        </row>
        <row r="774">
          <cell r="B774">
            <v>0</v>
          </cell>
          <cell r="C774">
            <v>2</v>
          </cell>
        </row>
        <row r="775">
          <cell r="B775">
            <v>0.20000000009999999</v>
          </cell>
          <cell r="C775">
            <v>0</v>
          </cell>
        </row>
        <row r="776">
          <cell r="B776">
            <v>0</v>
          </cell>
          <cell r="C776">
            <v>0</v>
          </cell>
        </row>
        <row r="777">
          <cell r="B777">
            <v>1</v>
          </cell>
          <cell r="C777">
            <v>2</v>
          </cell>
        </row>
        <row r="778">
          <cell r="B778">
            <v>0</v>
          </cell>
          <cell r="C778">
            <v>0</v>
          </cell>
        </row>
        <row r="779">
          <cell r="B779">
            <v>2</v>
          </cell>
          <cell r="C779">
            <v>4</v>
          </cell>
        </row>
        <row r="780">
          <cell r="B780" t="str">
            <v>1|不存在公司会计、出纳、稽核等不相容岗位兼职情况</v>
          </cell>
          <cell r="C780">
            <v>2</v>
          </cell>
        </row>
        <row r="781">
          <cell r="B781" t="str">
            <v>2|存在公司会计、出纳、稽核等不相容岗位兼职情况</v>
          </cell>
          <cell r="C781">
            <v>0</v>
          </cell>
        </row>
        <row r="782">
          <cell r="B782" t="str">
            <v>1|省级分公司和中心支公司财务部门负责人的业绩考核与操作风险相挂钩</v>
          </cell>
          <cell r="C782">
            <v>2</v>
          </cell>
        </row>
        <row r="783">
          <cell r="B783" t="str">
            <v>2|省级分公司和中心支公司财务部门负责人的业绩考核不与操作风险相挂钩</v>
          </cell>
          <cell r="C783">
            <v>0</v>
          </cell>
        </row>
        <row r="784">
          <cell r="B784">
            <v>0</v>
          </cell>
          <cell r="C784">
            <v>0</v>
          </cell>
        </row>
        <row r="785">
          <cell r="B785">
            <v>1E-8</v>
          </cell>
          <cell r="C785">
            <v>-2</v>
          </cell>
        </row>
        <row r="786">
          <cell r="B786">
            <v>2</v>
          </cell>
          <cell r="C786">
            <v>-4</v>
          </cell>
        </row>
        <row r="787">
          <cell r="B787">
            <v>0</v>
          </cell>
          <cell r="C787">
            <v>0</v>
          </cell>
        </row>
        <row r="788">
          <cell r="B788">
            <v>1</v>
          </cell>
          <cell r="C788">
            <v>-4</v>
          </cell>
        </row>
        <row r="789">
          <cell r="B789" t="str">
            <v>1|银行账户由总公司集中管理，银行账户的设立、变更或注销报总公司审批或备案，支公司及以下分支机构未开立银行账户（税收、社保账户除外）</v>
          </cell>
          <cell r="C789">
            <v>1</v>
          </cell>
        </row>
        <row r="790">
          <cell r="B790" t="str">
            <v>2|银行账户不是由总公司集中管理，或者银行账户的设立、变更或注销不是报总公司审批或备案，或者支公司及以下分支机构开立银行账户（税收、社保账户除外）</v>
          </cell>
          <cell r="C790">
            <v>0</v>
          </cell>
        </row>
        <row r="791">
          <cell r="B791">
            <v>0</v>
          </cell>
          <cell r="C791">
            <v>0</v>
          </cell>
        </row>
        <row r="792">
          <cell r="B792">
            <v>0.9</v>
          </cell>
          <cell r="C792">
            <v>1</v>
          </cell>
        </row>
        <row r="793">
          <cell r="B793">
            <v>0.95</v>
          </cell>
          <cell r="C793">
            <v>3</v>
          </cell>
        </row>
        <row r="794">
          <cell r="B794">
            <v>0</v>
          </cell>
          <cell r="C794">
            <v>0</v>
          </cell>
        </row>
        <row r="795">
          <cell r="B795">
            <v>0.9</v>
          </cell>
          <cell r="C795">
            <v>1</v>
          </cell>
        </row>
        <row r="796">
          <cell r="B796">
            <v>0.95</v>
          </cell>
          <cell r="C796">
            <v>3</v>
          </cell>
        </row>
        <row r="797">
          <cell r="B797">
            <v>0</v>
          </cell>
          <cell r="C797">
            <v>3</v>
          </cell>
        </row>
        <row r="798">
          <cell r="B798">
            <v>3.00000001E-2</v>
          </cell>
          <cell r="C798">
            <v>1</v>
          </cell>
        </row>
        <row r="799">
          <cell r="B799">
            <v>5.0000000099999997E-2</v>
          </cell>
          <cell r="C799">
            <v>0</v>
          </cell>
        </row>
        <row r="800">
          <cell r="B800" t="str">
            <v>1|评估期末公司本年度累计实际发生费用未超过预算</v>
          </cell>
          <cell r="C800">
            <v>3</v>
          </cell>
        </row>
        <row r="801">
          <cell r="B801" t="str">
            <v>2|评估期末公司本年度累计实际发生费用超过预算</v>
          </cell>
          <cell r="C801">
            <v>0</v>
          </cell>
        </row>
        <row r="804">
          <cell r="B804">
            <v>0</v>
          </cell>
          <cell r="C804">
            <v>0</v>
          </cell>
        </row>
        <row r="805">
          <cell r="B805">
            <v>0.95</v>
          </cell>
          <cell r="C805">
            <v>1</v>
          </cell>
        </row>
        <row r="806">
          <cell r="B806">
            <v>1</v>
          </cell>
          <cell r="C806">
            <v>2</v>
          </cell>
        </row>
        <row r="807">
          <cell r="B807">
            <v>0</v>
          </cell>
          <cell r="C807">
            <v>5</v>
          </cell>
        </row>
        <row r="808">
          <cell r="B808">
            <v>1</v>
          </cell>
          <cell r="C808">
            <v>2</v>
          </cell>
        </row>
        <row r="809">
          <cell r="B809">
            <v>3</v>
          </cell>
          <cell r="C809">
            <v>0</v>
          </cell>
        </row>
        <row r="810">
          <cell r="B810" t="str">
            <v>1|财务系统与单证系统、业务系统、再保系统、精算系统等对接，实现系统间数据自动交换</v>
          </cell>
          <cell r="C810">
            <v>2</v>
          </cell>
        </row>
        <row r="811">
          <cell r="B811" t="str">
            <v>2|财务系统未与单证系统、业务系统、再保系统、精算系统等对接，未能实现系统间数据自动交换</v>
          </cell>
          <cell r="C811">
            <v>0</v>
          </cell>
        </row>
        <row r="812">
          <cell r="B812">
            <v>0</v>
          </cell>
          <cell r="C812">
            <v>10</v>
          </cell>
        </row>
        <row r="813">
          <cell r="B813">
            <v>12</v>
          </cell>
          <cell r="C813">
            <v>5</v>
          </cell>
        </row>
        <row r="814">
          <cell r="B814">
            <v>18</v>
          </cell>
          <cell r="C814">
            <v>2</v>
          </cell>
        </row>
        <row r="815">
          <cell r="B815">
            <v>24</v>
          </cell>
          <cell r="C815">
            <v>0</v>
          </cell>
        </row>
        <row r="816">
          <cell r="B816">
            <v>0</v>
          </cell>
          <cell r="C816">
            <v>4</v>
          </cell>
        </row>
        <row r="817">
          <cell r="B817">
            <v>44</v>
          </cell>
          <cell r="C817">
            <v>3.2</v>
          </cell>
        </row>
        <row r="818">
          <cell r="B818">
            <v>88</v>
          </cell>
          <cell r="C818">
            <v>2.4</v>
          </cell>
        </row>
        <row r="819">
          <cell r="B819">
            <v>132</v>
          </cell>
          <cell r="C819">
            <v>1.6</v>
          </cell>
        </row>
        <row r="820">
          <cell r="B820">
            <v>176</v>
          </cell>
          <cell r="C820">
            <v>0.8</v>
          </cell>
        </row>
        <row r="821">
          <cell r="B821">
            <v>0</v>
          </cell>
          <cell r="C821">
            <v>4</v>
          </cell>
        </row>
        <row r="822">
          <cell r="B822">
            <v>44</v>
          </cell>
          <cell r="C822">
            <v>3.2</v>
          </cell>
        </row>
        <row r="823">
          <cell r="B823">
            <v>88</v>
          </cell>
          <cell r="C823">
            <v>2.4</v>
          </cell>
        </row>
        <row r="824">
          <cell r="B824">
            <v>132</v>
          </cell>
          <cell r="C824">
            <v>1.6</v>
          </cell>
        </row>
        <row r="825">
          <cell r="B825">
            <v>176</v>
          </cell>
          <cell r="C825">
            <v>0.8</v>
          </cell>
        </row>
        <row r="826">
          <cell r="B826">
            <v>0</v>
          </cell>
          <cell r="C826">
            <v>4</v>
          </cell>
        </row>
        <row r="827">
          <cell r="B827">
            <v>44</v>
          </cell>
          <cell r="C827">
            <v>3.2</v>
          </cell>
        </row>
        <row r="828">
          <cell r="B828">
            <v>88</v>
          </cell>
          <cell r="C828">
            <v>2.4</v>
          </cell>
        </row>
        <row r="829">
          <cell r="B829">
            <v>132</v>
          </cell>
          <cell r="C829">
            <v>1.6</v>
          </cell>
        </row>
        <row r="830">
          <cell r="B830">
            <v>176</v>
          </cell>
          <cell r="C830">
            <v>0.8</v>
          </cell>
        </row>
        <row r="831">
          <cell r="B831">
            <v>0</v>
          </cell>
          <cell r="C831">
            <v>4</v>
          </cell>
        </row>
        <row r="832">
          <cell r="B832">
            <v>44</v>
          </cell>
          <cell r="C832">
            <v>3.2</v>
          </cell>
        </row>
        <row r="833">
          <cell r="B833">
            <v>88</v>
          </cell>
          <cell r="C833">
            <v>2.4</v>
          </cell>
        </row>
        <row r="834">
          <cell r="B834">
            <v>132</v>
          </cell>
          <cell r="C834">
            <v>1.6</v>
          </cell>
        </row>
        <row r="835">
          <cell r="B835">
            <v>176</v>
          </cell>
          <cell r="C835">
            <v>0.8</v>
          </cell>
        </row>
        <row r="836">
          <cell r="B836">
            <v>0</v>
          </cell>
          <cell r="C836">
            <v>4</v>
          </cell>
        </row>
        <row r="837">
          <cell r="B837">
            <v>44</v>
          </cell>
          <cell r="C837">
            <v>3.2</v>
          </cell>
        </row>
        <row r="838">
          <cell r="B838">
            <v>88</v>
          </cell>
          <cell r="C838">
            <v>2.4</v>
          </cell>
        </row>
        <row r="839">
          <cell r="B839">
            <v>132</v>
          </cell>
          <cell r="C839">
            <v>1.6</v>
          </cell>
        </row>
        <row r="840">
          <cell r="B840">
            <v>176</v>
          </cell>
          <cell r="C840">
            <v>0.8</v>
          </cell>
        </row>
        <row r="841">
          <cell r="B841">
            <v>0</v>
          </cell>
          <cell r="C841">
            <v>3.2</v>
          </cell>
        </row>
        <row r="842">
          <cell r="B842">
            <v>1</v>
          </cell>
          <cell r="C842">
            <v>4</v>
          </cell>
        </row>
        <row r="843">
          <cell r="B843">
            <v>0</v>
          </cell>
          <cell r="C843">
            <v>3.2</v>
          </cell>
        </row>
        <row r="844">
          <cell r="B844">
            <v>55</v>
          </cell>
          <cell r="C844">
            <v>2.4</v>
          </cell>
        </row>
        <row r="845">
          <cell r="B845">
            <v>110</v>
          </cell>
          <cell r="C845">
            <v>1.6</v>
          </cell>
        </row>
        <row r="846">
          <cell r="B846">
            <v>165</v>
          </cell>
          <cell r="C846">
            <v>0.8</v>
          </cell>
        </row>
        <row r="847">
          <cell r="B847">
            <v>0</v>
          </cell>
          <cell r="C847">
            <v>2.4</v>
          </cell>
        </row>
        <row r="848">
          <cell r="B848">
            <v>1</v>
          </cell>
          <cell r="C848">
            <v>4</v>
          </cell>
        </row>
        <row r="849">
          <cell r="B849">
            <v>0</v>
          </cell>
          <cell r="C849">
            <v>3.2</v>
          </cell>
        </row>
        <row r="850">
          <cell r="B850">
            <v>55</v>
          </cell>
          <cell r="C850">
            <v>2.4</v>
          </cell>
        </row>
        <row r="851">
          <cell r="B851">
            <v>110</v>
          </cell>
          <cell r="C851">
            <v>1.6</v>
          </cell>
        </row>
        <row r="852">
          <cell r="B852">
            <v>165</v>
          </cell>
          <cell r="C852">
            <v>0.8</v>
          </cell>
        </row>
        <row r="853">
          <cell r="B853">
            <v>0</v>
          </cell>
          <cell r="C853">
            <v>1.6</v>
          </cell>
        </row>
        <row r="854">
          <cell r="B854">
            <v>1</v>
          </cell>
          <cell r="C854">
            <v>4</v>
          </cell>
        </row>
        <row r="855">
          <cell r="B855">
            <v>0</v>
          </cell>
          <cell r="C855">
            <v>3.2</v>
          </cell>
        </row>
        <row r="856">
          <cell r="B856">
            <v>55</v>
          </cell>
          <cell r="C856">
            <v>2.4</v>
          </cell>
        </row>
        <row r="857">
          <cell r="B857">
            <v>110</v>
          </cell>
          <cell r="C857">
            <v>1.6</v>
          </cell>
        </row>
        <row r="858">
          <cell r="B858">
            <v>165</v>
          </cell>
          <cell r="C858">
            <v>0.8</v>
          </cell>
        </row>
        <row r="859">
          <cell r="B859">
            <v>0</v>
          </cell>
          <cell r="C859">
            <v>0</v>
          </cell>
        </row>
        <row r="860">
          <cell r="B860">
            <v>1E-8</v>
          </cell>
          <cell r="C860">
            <v>-10</v>
          </cell>
        </row>
        <row r="861">
          <cell r="B861">
            <v>300000.00000001001</v>
          </cell>
          <cell r="C861">
            <v>-15</v>
          </cell>
        </row>
        <row r="862">
          <cell r="B862">
            <v>1000000.00000001</v>
          </cell>
          <cell r="C862">
            <v>-20</v>
          </cell>
        </row>
        <row r="863">
          <cell r="B863" t="str">
            <v>1|未受到行政处罚</v>
          </cell>
          <cell r="C863">
            <v>0</v>
          </cell>
        </row>
        <row r="864">
          <cell r="B864" t="str">
            <v>2|董事长、总经理被处以罚款</v>
          </cell>
          <cell r="C864">
            <v>-20</v>
          </cell>
        </row>
        <row r="865">
          <cell r="B865" t="str">
            <v>3|董事长、总经理以外的其他董事、高级管理人员被撤销任职资格或者禁止进入保险业</v>
          </cell>
          <cell r="C865">
            <v>-20</v>
          </cell>
        </row>
        <row r="866">
          <cell r="B866" t="str">
            <v>1|总公司在上一评估期内受到行政处罚</v>
          </cell>
          <cell r="C866">
            <v>-5</v>
          </cell>
        </row>
        <row r="867">
          <cell r="B867" t="str">
            <v>2|总公司在上一评估期内未受到行政处罚</v>
          </cell>
          <cell r="C867">
            <v>0</v>
          </cell>
        </row>
        <row r="868">
          <cell r="B868" t="str">
            <v>1|未受到该类行政处罚</v>
          </cell>
          <cell r="C868">
            <v>0</v>
          </cell>
        </row>
        <row r="869">
          <cell r="B869" t="str">
            <v>2|受到该类行政处罚</v>
          </cell>
          <cell r="C869">
            <v>-5</v>
          </cell>
        </row>
        <row r="870">
          <cell r="B870" t="str">
            <v>财产险公司</v>
          </cell>
          <cell r="C870">
            <v>0</v>
          </cell>
        </row>
        <row r="871">
          <cell r="B871" t="str">
            <v>人身险公司</v>
          </cell>
          <cell r="C871">
            <v>0</v>
          </cell>
        </row>
        <row r="872">
          <cell r="B872" t="str">
            <v>再保险公司</v>
          </cell>
          <cell r="C872">
            <v>0</v>
          </cell>
        </row>
        <row r="873">
          <cell r="B873">
            <v>0</v>
          </cell>
          <cell r="C873">
            <v>0</v>
          </cell>
        </row>
        <row r="874">
          <cell r="B874">
            <v>1E-8</v>
          </cell>
          <cell r="C874">
            <v>-5</v>
          </cell>
        </row>
        <row r="875">
          <cell r="B875">
            <v>40.000000004999997</v>
          </cell>
          <cell r="C875">
            <v>-10</v>
          </cell>
        </row>
        <row r="876">
          <cell r="B876">
            <v>60.000000004999997</v>
          </cell>
          <cell r="C876">
            <v>-15</v>
          </cell>
        </row>
        <row r="877">
          <cell r="B877">
            <v>0</v>
          </cell>
          <cell r="C877">
            <v>0</v>
          </cell>
        </row>
        <row r="878">
          <cell r="B878">
            <v>1E-8</v>
          </cell>
          <cell r="C878">
            <v>-5</v>
          </cell>
        </row>
        <row r="879">
          <cell r="B879">
            <v>40.000000004999997</v>
          </cell>
          <cell r="C879">
            <v>-10</v>
          </cell>
        </row>
        <row r="880">
          <cell r="B880">
            <v>60.000000004999997</v>
          </cell>
          <cell r="C880">
            <v>-15</v>
          </cell>
        </row>
        <row r="881">
          <cell r="B881">
            <v>0</v>
          </cell>
          <cell r="C881">
            <v>0</v>
          </cell>
        </row>
        <row r="882">
          <cell r="B882">
            <v>1E-8</v>
          </cell>
          <cell r="C882">
            <v>-5</v>
          </cell>
        </row>
        <row r="883">
          <cell r="B883">
            <v>19.200000002399999</v>
          </cell>
          <cell r="C883">
            <v>-10</v>
          </cell>
        </row>
        <row r="884">
          <cell r="B884">
            <v>28.800000002399997</v>
          </cell>
          <cell r="C884">
            <v>-15</v>
          </cell>
        </row>
        <row r="885">
          <cell r="B885" t="str">
            <v>财产险公司</v>
          </cell>
          <cell r="C885">
            <v>0</v>
          </cell>
        </row>
        <row r="886">
          <cell r="B886" t="str">
            <v>人身险公司</v>
          </cell>
          <cell r="C886">
            <v>0</v>
          </cell>
        </row>
        <row r="887">
          <cell r="B887" t="str">
            <v>再保险公司</v>
          </cell>
          <cell r="C887">
            <v>0</v>
          </cell>
        </row>
        <row r="888">
          <cell r="B888">
            <v>0</v>
          </cell>
          <cell r="C888">
            <v>0</v>
          </cell>
        </row>
        <row r="889">
          <cell r="B889">
            <v>1E-8</v>
          </cell>
          <cell r="C889">
            <v>-5</v>
          </cell>
        </row>
        <row r="890">
          <cell r="B890">
            <v>0.40000000004999997</v>
          </cell>
          <cell r="C890">
            <v>-10</v>
          </cell>
        </row>
        <row r="891">
          <cell r="B891">
            <v>0.60000000004999998</v>
          </cell>
          <cell r="C891">
            <v>-15</v>
          </cell>
        </row>
        <row r="892">
          <cell r="B892">
            <v>0</v>
          </cell>
          <cell r="C892">
            <v>0</v>
          </cell>
        </row>
        <row r="893">
          <cell r="B893">
            <v>1E-8</v>
          </cell>
          <cell r="C893">
            <v>-5</v>
          </cell>
        </row>
        <row r="894">
          <cell r="B894">
            <v>0.40000000004999997</v>
          </cell>
          <cell r="C894">
            <v>-10</v>
          </cell>
        </row>
        <row r="895">
          <cell r="B895">
            <v>0.60000000004999998</v>
          </cell>
          <cell r="C895">
            <v>-15</v>
          </cell>
        </row>
        <row r="896">
          <cell r="B896">
            <v>0</v>
          </cell>
          <cell r="C896">
            <v>0</v>
          </cell>
        </row>
        <row r="897">
          <cell r="B897">
            <v>1E-8</v>
          </cell>
          <cell r="C897">
            <v>-5</v>
          </cell>
        </row>
        <row r="898">
          <cell r="B898">
            <v>0.28000000003499997</v>
          </cell>
          <cell r="C898">
            <v>-10</v>
          </cell>
        </row>
        <row r="899">
          <cell r="B899">
            <v>0.42000000003499999</v>
          </cell>
          <cell r="C899">
            <v>-15</v>
          </cell>
        </row>
        <row r="900">
          <cell r="B900" t="str">
            <v>1|设置合规管理部门</v>
          </cell>
          <cell r="C900">
            <v>0</v>
          </cell>
        </row>
        <row r="901">
          <cell r="B901" t="str">
            <v>2|未设置合规管理部门</v>
          </cell>
          <cell r="C901">
            <v>-10</v>
          </cell>
        </row>
        <row r="902">
          <cell r="B902" t="str">
            <v>1|按照规定制定合规管理政策</v>
          </cell>
          <cell r="C902">
            <v>0</v>
          </cell>
        </row>
        <row r="903">
          <cell r="B903" t="str">
            <v>2|未按照规定制定合规管理政策</v>
          </cell>
          <cell r="C903">
            <v>-5</v>
          </cell>
        </row>
        <row r="904">
          <cell r="B904" t="str">
            <v>1|制定员工行为准则等落实合规政策的文件</v>
          </cell>
          <cell r="C904">
            <v>0</v>
          </cell>
        </row>
        <row r="905">
          <cell r="B905" t="str">
            <v>2|未制定员工行为准则等落实合规政策的文件</v>
          </cell>
          <cell r="C905">
            <v>-5</v>
          </cell>
        </row>
        <row r="906">
          <cell r="B906" t="str">
            <v>1|定期开展合规培训</v>
          </cell>
          <cell r="C906">
            <v>0</v>
          </cell>
        </row>
        <row r="907">
          <cell r="B907" t="str">
            <v>2|未定期开展合规培训</v>
          </cell>
          <cell r="C907">
            <v>-5</v>
          </cell>
        </row>
        <row r="908">
          <cell r="B908" t="str">
            <v>1|按时提交年度合规报告</v>
          </cell>
          <cell r="C908">
            <v>0</v>
          </cell>
        </row>
        <row r="909">
          <cell r="B909" t="str">
            <v>2|未按时提交年度合规报告</v>
          </cell>
          <cell r="C909">
            <v>-5</v>
          </cell>
        </row>
        <row r="910">
          <cell r="B910" t="str">
            <v>1|总公司被限制业务范围、责令停止接受新业务、责令停业整顿、吊销业务许可证</v>
          </cell>
          <cell r="C910">
            <v>-100</v>
          </cell>
        </row>
        <row r="911">
          <cell r="B911" t="str">
            <v>2|总公司董事长、总经理被撤销任职资格或者禁止进入保险业</v>
          </cell>
          <cell r="C911">
            <v>-100</v>
          </cell>
        </row>
        <row r="912">
          <cell r="B912" t="str">
            <v>3|无</v>
          </cell>
          <cell r="C912">
            <v>0</v>
          </cell>
        </row>
        <row r="917">
          <cell r="B917">
            <v>-10000000</v>
          </cell>
          <cell r="C917">
            <v>0</v>
          </cell>
        </row>
        <row r="918">
          <cell r="B918">
            <v>0</v>
          </cell>
          <cell r="C918">
            <v>10</v>
          </cell>
        </row>
        <row r="919">
          <cell r="B919">
            <v>-10000000</v>
          </cell>
          <cell r="C919">
            <v>0</v>
          </cell>
        </row>
        <row r="920">
          <cell r="B920">
            <v>0</v>
          </cell>
          <cell r="C920">
            <v>2.5</v>
          </cell>
        </row>
        <row r="921">
          <cell r="B921">
            <v>-10000000</v>
          </cell>
          <cell r="C921">
            <v>0</v>
          </cell>
        </row>
        <row r="922">
          <cell r="B922">
            <v>0</v>
          </cell>
          <cell r="C922">
            <v>2</v>
          </cell>
        </row>
        <row r="923">
          <cell r="B923">
            <v>-10000000</v>
          </cell>
          <cell r="C923">
            <v>0</v>
          </cell>
        </row>
        <row r="924">
          <cell r="B924">
            <v>0</v>
          </cell>
          <cell r="C924">
            <v>1</v>
          </cell>
        </row>
        <row r="925">
          <cell r="B925">
            <v>-10000000</v>
          </cell>
          <cell r="C925">
            <v>0</v>
          </cell>
        </row>
        <row r="926">
          <cell r="B926">
            <v>0</v>
          </cell>
          <cell r="C926">
            <v>1.25</v>
          </cell>
        </row>
        <row r="927">
          <cell r="B927">
            <v>-10000000</v>
          </cell>
          <cell r="C927">
            <v>0</v>
          </cell>
        </row>
        <row r="928">
          <cell r="B928">
            <v>0</v>
          </cell>
          <cell r="C928">
            <v>1</v>
          </cell>
        </row>
        <row r="929">
          <cell r="B929">
            <v>-10000000</v>
          </cell>
          <cell r="C929">
            <v>0</v>
          </cell>
        </row>
        <row r="930">
          <cell r="B930">
            <v>0</v>
          </cell>
          <cell r="C930">
            <v>0.5</v>
          </cell>
        </row>
        <row r="931">
          <cell r="B931">
            <v>-100000</v>
          </cell>
          <cell r="C931">
            <v>0</v>
          </cell>
        </row>
        <row r="932">
          <cell r="B932">
            <v>1</v>
          </cell>
          <cell r="C932">
            <v>10</v>
          </cell>
        </row>
        <row r="933">
          <cell r="B933">
            <v>-100000</v>
          </cell>
          <cell r="C933">
            <v>0</v>
          </cell>
        </row>
        <row r="934">
          <cell r="B934">
            <v>1</v>
          </cell>
          <cell r="C934">
            <v>6</v>
          </cell>
        </row>
        <row r="935">
          <cell r="B935">
            <v>-10000000</v>
          </cell>
          <cell r="C935">
            <v>0</v>
          </cell>
        </row>
        <row r="936">
          <cell r="B936">
            <v>0.5</v>
          </cell>
          <cell r="C936">
            <v>1.25</v>
          </cell>
        </row>
        <row r="937">
          <cell r="B937">
            <v>0.8</v>
          </cell>
          <cell r="C937">
            <v>3.75</v>
          </cell>
        </row>
        <row r="938">
          <cell r="B938">
            <v>1</v>
          </cell>
          <cell r="C938">
            <v>6.25</v>
          </cell>
        </row>
        <row r="939">
          <cell r="B939">
            <v>2</v>
          </cell>
          <cell r="C939">
            <v>7.5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徐梦薇/Mengwei Xu" refreshedDate="43320.749399884262" createdVersion="3" refreshedVersion="3" minRefreshableVersion="3" recordCount="60">
  <cacheSource type="worksheet">
    <worksheetSource ref="A2:G62" sheet="员工流失率"/>
  </cacheSource>
  <cacheFields count="7">
    <cacheField name="渠道" numFmtId="0">
      <sharedItems count="6">
        <s v="客服"/>
        <s v="个险"/>
        <s v="团险"/>
        <s v="银保"/>
        <s v="多元"/>
        <s v="续期"/>
      </sharedItems>
    </cacheField>
    <cacheField name="分公司" numFmtId="0">
      <sharedItems/>
    </cacheField>
    <cacheField name="最近4个季度省级分公司及以下分支机构销售、承保、保全部门离职员工人数" numFmtId="0">
      <sharedItems containsString="0" containsBlank="1" containsNumber="1" containsInteger="1" minValue="0" maxValue="38"/>
    </cacheField>
    <cacheField name="前4个季度初省级分公司及以下分支机构销售、承保、保全部门员工人数" numFmtId="0">
      <sharedItems containsString="0" containsBlank="1" containsNumber="1" containsInteger="1" minValue="0" maxValue="83"/>
    </cacheField>
    <cacheField name="最近4个季度省级分公司及以下分支机构销售、承保、保全部门增加员工人数" numFmtId="0">
      <sharedItems containsString="0" containsBlank="1" containsNumber="1" containsInteger="1" minValue="0" maxValue="39"/>
    </cacheField>
    <cacheField name="离职率" numFmtId="188">
      <sharedItems containsString="0" containsBlank="1" containsNumber="1" minValue="0" maxValue="1"/>
    </cacheField>
    <cacheField name="得分" numFmtId="180">
      <sharedItems containsString="0" containsBlank="1" containsNumber="1" minValue="0" maxValue="3"/>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徐梦薇/Mengwei Xu" refreshedDate="43320.749495833334" createdVersion="3" refreshedVersion="3" minRefreshableVersion="3" recordCount="50">
  <cacheSource type="worksheet">
    <worksheetSource ref="A2:F52" sheet="犹豫期内电话回访成功率"/>
  </cacheSource>
  <cacheFields count="6">
    <cacheField name="渠道" numFmtId="0">
      <sharedItems count="5">
        <s v="个险"/>
        <s v="团险"/>
        <s v="银保"/>
        <s v="多元"/>
        <s v="续期"/>
      </sharedItems>
    </cacheField>
    <cacheField name="分公司" numFmtId="0">
      <sharedItems/>
    </cacheField>
    <cacheField name="评估期内通过电话回访方式在犹豫期内完成新契约回访的保单件数" numFmtId="0">
      <sharedItems containsSemiMixedTypes="0" containsString="0" containsNumber="1" containsInteger="1" minValue="0" maxValue="3874"/>
    </cacheField>
    <cacheField name="评估期内承保的保单件数" numFmtId="0">
      <sharedItems containsSemiMixedTypes="0" containsString="0" containsNumber="1" containsInteger="1" minValue="0" maxValue="3911"/>
    </cacheField>
    <cacheField name="犹豫期内电话回访成功率" numFmtId="9">
      <sharedItems containsString="0" containsBlank="1" containsNumber="1" minValue="0.66666666666666663" maxValue="1"/>
    </cacheField>
    <cacheField name="得分" numFmtId="177">
      <sharedItems containsString="0" containsBlank="1" containsNumber="1" containsInteger="1" minValue="0" maxValue="2"/>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徐梦薇/Mengwei Xu" refreshedDate="43320.749533217589" createdVersion="3" refreshedVersion="3" minRefreshableVersion="3" recordCount="50">
  <cacheSource type="worksheet">
    <worksheetSource ref="A2:F52" sheet="新契约回访完成率"/>
  </cacheSource>
  <cacheFields count="6">
    <cacheField name="渠道" numFmtId="0">
      <sharedItems count="5">
        <s v="个险"/>
        <s v="团险"/>
        <s v="银保"/>
        <s v="多元"/>
        <s v="续期"/>
      </sharedItems>
    </cacheField>
    <cacheField name="分公司" numFmtId="0">
      <sharedItems/>
    </cacheField>
    <cacheField name="评估期内承保的保单中完成回访的保单件数" numFmtId="0">
      <sharedItems containsSemiMixedTypes="0" containsString="0" containsNumber="1" containsInteger="1" minValue="0" maxValue="3722"/>
    </cacheField>
    <cacheField name="评估期内承保的保单件数" numFmtId="0">
      <sharedItems containsSemiMixedTypes="0" containsString="0" containsNumber="1" containsInteger="1" minValue="0" maxValue="3911"/>
    </cacheField>
    <cacheField name="新契约回访完成率" numFmtId="9">
      <sharedItems containsString="0" containsBlank="1" containsNumber="1" minValue="0.44444444444444442" maxValue="1"/>
    </cacheField>
    <cacheField name="得分" numFmtId="177">
      <sharedItems containsString="0" containsBlank="1" containsNumber="1" containsInteger="1" minValue="0" maxValue="2"/>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徐梦薇/Mengwei Xu" refreshedDate="43320.75212222222" createdVersion="3" refreshedVersion="3" minRefreshableVersion="3" recordCount="1449">
  <cacheSource type="worksheet">
    <worksheetSource ref="A1:E1450" sheet="续期收费率"/>
  </cacheSource>
  <cacheFields count="5">
    <cacheField name="业务渠道" numFmtId="0">
      <sharedItems count="5">
        <s v="个险"/>
        <s v="多元"/>
        <s v="银保"/>
        <s v="收展"/>
        <s v="小计"/>
      </sharedItems>
    </cacheField>
    <cacheField name="实收保费" numFmtId="0">
      <sharedItems containsSemiMixedTypes="0" containsString="0" containsNumber="1" minValue="0" maxValue="8981.9032999999999"/>
    </cacheField>
    <cacheField name="应收保费" numFmtId="0">
      <sharedItems containsSemiMixedTypes="0" containsString="0" containsNumber="1" minValue="9.7199999999999995E-2" maxValue="9334.4226999999992"/>
    </cacheField>
    <cacheField name="保费继续率" numFmtId="10">
      <sharedItems containsSemiMixedTypes="0" containsString="0" containsNumber="1" minValue="0" maxValue="1"/>
    </cacheField>
    <cacheField name="得分" numFmtId="0">
      <sharedItems containsSemiMixedTypes="0" containsString="0" containsNumber="1" minValue="0" maxValue="3"/>
    </cacheField>
  </cacheFields>
</pivotCacheDefinition>
</file>

<file path=xl/pivotCache/pivotCacheRecords1.xml><?xml version="1.0" encoding="utf-8"?>
<pivotCacheRecords xmlns="http://schemas.openxmlformats.org/spreadsheetml/2006/main" xmlns:r="http://schemas.openxmlformats.org/officeDocument/2006/relationships" count="60">
  <r>
    <x v="0"/>
    <s v="北京"/>
    <n v="0"/>
    <n v="4"/>
    <n v="0"/>
    <n v="0"/>
    <n v="3"/>
  </r>
  <r>
    <x v="1"/>
    <s v="北京"/>
    <n v="2"/>
    <n v="15"/>
    <n v="1"/>
    <n v="0.125"/>
    <n v="3"/>
  </r>
  <r>
    <x v="2"/>
    <s v="北京"/>
    <n v="4"/>
    <n v="8"/>
    <n v="4"/>
    <n v="0.33333333333333331"/>
    <n v="0"/>
  </r>
  <r>
    <x v="3"/>
    <s v="北京"/>
    <n v="2"/>
    <n v="8"/>
    <n v="3"/>
    <n v="0.18181818181818182"/>
    <n v="1.5"/>
  </r>
  <r>
    <x v="4"/>
    <s v="北京"/>
    <n v="1"/>
    <n v="4"/>
    <n v="2"/>
    <n v="0.16666666666666666"/>
    <n v="1.5"/>
  </r>
  <r>
    <x v="5"/>
    <s v="北京"/>
    <n v="1"/>
    <n v="3"/>
    <n v="2"/>
    <n v="0.2"/>
    <n v="1.5"/>
  </r>
  <r>
    <x v="0"/>
    <s v="天津"/>
    <n v="1"/>
    <n v="7"/>
    <n v="1"/>
    <n v="0.125"/>
    <n v="3"/>
  </r>
  <r>
    <x v="1"/>
    <s v="天津"/>
    <n v="22"/>
    <n v="74"/>
    <n v="13"/>
    <n v="0.25287356321839083"/>
    <n v="1.5"/>
  </r>
  <r>
    <x v="2"/>
    <s v="天津"/>
    <n v="2"/>
    <n v="18"/>
    <n v="6"/>
    <n v="8.3333333333333329E-2"/>
    <n v="3"/>
  </r>
  <r>
    <x v="3"/>
    <s v="天津"/>
    <n v="6"/>
    <n v="28"/>
    <n v="5"/>
    <n v="0.18181818181818182"/>
    <n v="1.5"/>
  </r>
  <r>
    <x v="4"/>
    <s v="天津"/>
    <n v="0"/>
    <n v="0"/>
    <n v="0"/>
    <m/>
    <m/>
  </r>
  <r>
    <x v="5"/>
    <s v="天津"/>
    <n v="1"/>
    <n v="7"/>
    <n v="2"/>
    <n v="0.1111111111111111"/>
    <n v="3"/>
  </r>
  <r>
    <x v="0"/>
    <s v="辽宁"/>
    <n v="1"/>
    <n v="8"/>
    <n v="0"/>
    <n v="0.125"/>
    <n v="3"/>
  </r>
  <r>
    <x v="1"/>
    <s v="辽宁"/>
    <n v="8"/>
    <n v="58"/>
    <n v="13"/>
    <n v="0.11267605633802817"/>
    <n v="3"/>
  </r>
  <r>
    <x v="2"/>
    <s v="辽宁"/>
    <n v="0"/>
    <n v="0"/>
    <n v="0"/>
    <m/>
    <m/>
  </r>
  <r>
    <x v="3"/>
    <s v="辽宁"/>
    <n v="4"/>
    <n v="4"/>
    <n v="0"/>
    <n v="1"/>
    <n v="0"/>
  </r>
  <r>
    <x v="4"/>
    <s v="辽宁"/>
    <n v="0"/>
    <n v="12"/>
    <n v="1"/>
    <n v="0"/>
    <n v="3"/>
  </r>
  <r>
    <x v="5"/>
    <s v="辽宁"/>
    <n v="3"/>
    <n v="14"/>
    <n v="7"/>
    <n v="0.14285714285714285"/>
    <n v="3"/>
  </r>
  <r>
    <x v="0"/>
    <s v="大连"/>
    <m/>
    <n v="3"/>
    <m/>
    <n v="0"/>
    <n v="3"/>
  </r>
  <r>
    <x v="1"/>
    <s v="大连"/>
    <n v="9"/>
    <n v="11"/>
    <n v="9"/>
    <n v="0.45"/>
    <n v="0"/>
  </r>
  <r>
    <x v="2"/>
    <s v="大连"/>
    <m/>
    <m/>
    <m/>
    <m/>
    <m/>
  </r>
  <r>
    <x v="3"/>
    <s v="大连"/>
    <n v="6"/>
    <n v="17"/>
    <n v="12"/>
    <n v="0.20689655172413793"/>
    <n v="1.5"/>
  </r>
  <r>
    <x v="4"/>
    <s v="大连"/>
    <m/>
    <m/>
    <m/>
    <m/>
    <m/>
  </r>
  <r>
    <x v="5"/>
    <s v="大连"/>
    <m/>
    <n v="3"/>
    <n v="1"/>
    <n v="0"/>
    <n v="3"/>
  </r>
  <r>
    <x v="0"/>
    <s v="江苏"/>
    <n v="0"/>
    <n v="4"/>
    <n v="1"/>
    <n v="0"/>
    <n v="3"/>
  </r>
  <r>
    <x v="1"/>
    <s v="江苏"/>
    <n v="14"/>
    <n v="60"/>
    <n v="17"/>
    <n v="0.18181818181818182"/>
    <n v="1.5"/>
  </r>
  <r>
    <x v="2"/>
    <s v="江苏"/>
    <n v="5"/>
    <n v="19"/>
    <n v="4"/>
    <n v="0.21739130434782608"/>
    <n v="1.5"/>
  </r>
  <r>
    <x v="3"/>
    <s v="江苏"/>
    <n v="6"/>
    <n v="4"/>
    <n v="16"/>
    <n v="0.3"/>
    <n v="1.5"/>
  </r>
  <r>
    <x v="4"/>
    <s v="江苏"/>
    <n v="1"/>
    <n v="4"/>
    <n v="4"/>
    <n v="0.125"/>
    <n v="3"/>
  </r>
  <r>
    <x v="5"/>
    <s v="江苏"/>
    <n v="2"/>
    <n v="14"/>
    <n v="1"/>
    <n v="0.13333333333333333"/>
    <n v="3"/>
  </r>
  <r>
    <x v="0"/>
    <s v="山东"/>
    <n v="1"/>
    <n v="5"/>
    <n v="1"/>
    <n v="0.16666666666666666"/>
    <n v="1.5"/>
  </r>
  <r>
    <x v="1"/>
    <s v="山东"/>
    <n v="27"/>
    <n v="83"/>
    <n v="39"/>
    <n v="0.22131147540983606"/>
    <n v="1.5"/>
  </r>
  <r>
    <x v="2"/>
    <s v="山东"/>
    <n v="9"/>
    <n v="20"/>
    <n v="9"/>
    <n v="0.31034482758620691"/>
    <n v="0"/>
  </r>
  <r>
    <x v="3"/>
    <s v="山东"/>
    <n v="25"/>
    <n v="39"/>
    <n v="15"/>
    <n v="0.46296296296296297"/>
    <n v="0"/>
  </r>
  <r>
    <x v="4"/>
    <s v="山东"/>
    <n v="0"/>
    <n v="7"/>
    <n v="4"/>
    <n v="0"/>
    <n v="3"/>
  </r>
  <r>
    <x v="5"/>
    <s v="山东"/>
    <n v="3"/>
    <n v="13"/>
    <n v="7"/>
    <n v="0.15"/>
    <n v="3"/>
  </r>
  <r>
    <x v="0"/>
    <s v="青岛"/>
    <n v="0"/>
    <n v="3"/>
    <n v="0"/>
    <n v="0"/>
    <n v="3"/>
  </r>
  <r>
    <x v="1"/>
    <s v="青岛"/>
    <n v="7"/>
    <n v="17"/>
    <n v="10"/>
    <n v="0.25925925925925924"/>
    <n v="1.5"/>
  </r>
  <r>
    <x v="2"/>
    <s v="青岛"/>
    <n v="4"/>
    <n v="6"/>
    <n v="3"/>
    <n v="0.44444444444444442"/>
    <n v="0"/>
  </r>
  <r>
    <x v="3"/>
    <s v="青岛"/>
    <n v="0"/>
    <n v="1"/>
    <n v="0"/>
    <n v="0"/>
    <n v="3"/>
  </r>
  <r>
    <x v="4"/>
    <s v="青岛"/>
    <n v="0"/>
    <n v="0"/>
    <n v="0"/>
    <m/>
    <m/>
  </r>
  <r>
    <x v="5"/>
    <s v="青岛"/>
    <n v="1"/>
    <n v="4"/>
    <n v="2"/>
    <n v="0.16666666666666666"/>
    <n v="1.5"/>
  </r>
  <r>
    <x v="0"/>
    <s v="河南"/>
    <n v="0"/>
    <n v="6"/>
    <n v="0"/>
    <n v="0"/>
    <n v="3"/>
  </r>
  <r>
    <x v="1"/>
    <s v="河南"/>
    <n v="12"/>
    <n v="60"/>
    <n v="17"/>
    <n v="0.15584415584415584"/>
    <n v="1.5"/>
  </r>
  <r>
    <x v="2"/>
    <s v="河南"/>
    <n v="1"/>
    <n v="5"/>
    <n v="1"/>
    <n v="0.16666666666666666"/>
    <n v="1.5"/>
  </r>
  <r>
    <x v="3"/>
    <s v="河南"/>
    <n v="38"/>
    <n v="52"/>
    <n v="31"/>
    <n v="0.45783132530120479"/>
    <n v="0"/>
  </r>
  <r>
    <x v="4"/>
    <s v="河南"/>
    <n v="1"/>
    <n v="3"/>
    <n v="2"/>
    <n v="0.2"/>
    <n v="1.5"/>
  </r>
  <r>
    <x v="5"/>
    <s v="河南"/>
    <n v="1"/>
    <n v="7"/>
    <n v="2"/>
    <n v="0.1111111111111111"/>
    <n v="3"/>
  </r>
  <r>
    <x v="0"/>
    <s v="广东"/>
    <n v="1"/>
    <n v="3"/>
    <n v="1"/>
    <n v="0.25"/>
    <n v="1.5"/>
  </r>
  <r>
    <x v="1"/>
    <s v="广东"/>
    <n v="21"/>
    <n v="28"/>
    <n v="18"/>
    <n v="0.45652173913043476"/>
    <n v="0"/>
  </r>
  <r>
    <x v="2"/>
    <s v="广东"/>
    <n v="0"/>
    <n v="0"/>
    <n v="0"/>
    <m/>
    <m/>
  </r>
  <r>
    <x v="3"/>
    <s v="广东"/>
    <n v="11"/>
    <n v="10"/>
    <n v="5"/>
    <n v="0.73333333333333328"/>
    <n v="0"/>
  </r>
  <r>
    <x v="4"/>
    <s v="广东"/>
    <n v="2"/>
    <n v="4"/>
    <n v="0"/>
    <n v="0.5"/>
    <n v="0"/>
  </r>
  <r>
    <x v="5"/>
    <s v="广东"/>
    <n v="1"/>
    <n v="3"/>
    <n v="1"/>
    <n v="0.25"/>
    <n v="1.5"/>
  </r>
  <r>
    <x v="0"/>
    <s v="四川"/>
    <m/>
    <n v="3"/>
    <m/>
    <n v="0"/>
    <n v="3"/>
  </r>
  <r>
    <x v="1"/>
    <s v="四川"/>
    <n v="12"/>
    <n v="26"/>
    <n v="22"/>
    <n v="0.25"/>
    <n v="1.5"/>
  </r>
  <r>
    <x v="2"/>
    <s v="四川"/>
    <n v="7"/>
    <n v="9"/>
    <n v="6"/>
    <n v="0.46666666666666667"/>
    <n v="0"/>
  </r>
  <r>
    <x v="3"/>
    <s v="四川"/>
    <n v="6"/>
    <n v="8"/>
    <n v="7"/>
    <n v="0.4"/>
    <n v="0"/>
  </r>
  <r>
    <x v="4"/>
    <s v="四川"/>
    <m/>
    <m/>
    <n v="2"/>
    <n v="0"/>
    <n v="3"/>
  </r>
  <r>
    <x v="5"/>
    <s v="四川"/>
    <m/>
    <n v="5"/>
    <n v="1"/>
    <n v="0"/>
    <n v="3"/>
  </r>
</pivotCacheRecords>
</file>

<file path=xl/pivotCache/pivotCacheRecords2.xml><?xml version="1.0" encoding="utf-8"?>
<pivotCacheRecords xmlns="http://schemas.openxmlformats.org/spreadsheetml/2006/main" xmlns:r="http://schemas.openxmlformats.org/officeDocument/2006/relationships" count="50">
  <r>
    <x v="0"/>
    <s v="北京"/>
    <n v="325"/>
    <n v="340"/>
    <n v="0.95588235294117652"/>
    <n v="2"/>
  </r>
  <r>
    <x v="1"/>
    <s v="北京"/>
    <n v="3"/>
    <n v="3"/>
    <n v="1"/>
    <n v="2"/>
  </r>
  <r>
    <x v="2"/>
    <s v="北京"/>
    <n v="10"/>
    <n v="10"/>
    <n v="1"/>
    <n v="2"/>
  </r>
  <r>
    <x v="3"/>
    <s v="北京"/>
    <n v="387"/>
    <n v="401"/>
    <n v="0.96508728179551118"/>
    <n v="2"/>
  </r>
  <r>
    <x v="4"/>
    <s v="北京"/>
    <n v="23"/>
    <n v="23"/>
    <n v="1"/>
    <n v="2"/>
  </r>
  <r>
    <x v="0"/>
    <s v="天津"/>
    <n v="2668"/>
    <n v="2736"/>
    <n v="0.97514619883040932"/>
    <n v="2"/>
  </r>
  <r>
    <x v="1"/>
    <s v="天津"/>
    <n v="14"/>
    <n v="16"/>
    <n v="0.875"/>
    <n v="1"/>
  </r>
  <r>
    <x v="2"/>
    <s v="天津"/>
    <n v="427"/>
    <n v="442"/>
    <n v="0.9660633484162896"/>
    <n v="2"/>
  </r>
  <r>
    <x v="3"/>
    <s v="天津"/>
    <n v="252"/>
    <n v="255"/>
    <n v="0.9882352941176471"/>
    <n v="2"/>
  </r>
  <r>
    <x v="4"/>
    <s v="天津"/>
    <n v="38"/>
    <n v="38"/>
    <n v="1"/>
    <n v="2"/>
  </r>
  <r>
    <x v="0"/>
    <s v="辽宁"/>
    <n v="3874"/>
    <n v="3911"/>
    <n v="0.9905395039631808"/>
    <n v="2"/>
  </r>
  <r>
    <x v="1"/>
    <s v="辽宁"/>
    <n v="0"/>
    <n v="0"/>
    <m/>
    <m/>
  </r>
  <r>
    <x v="2"/>
    <s v="辽宁"/>
    <n v="0"/>
    <n v="0"/>
    <m/>
    <m/>
  </r>
  <r>
    <x v="3"/>
    <s v="辽宁"/>
    <n v="2375"/>
    <n v="2458"/>
    <n v="0.9662327095199349"/>
    <n v="2"/>
  </r>
  <r>
    <x v="4"/>
    <s v="辽宁"/>
    <n v="87"/>
    <n v="87"/>
    <n v="1"/>
    <n v="2"/>
  </r>
  <r>
    <x v="0"/>
    <s v="大连"/>
    <n v="521"/>
    <n v="551"/>
    <n v="0.94555353901996375"/>
    <n v="2"/>
  </r>
  <r>
    <x v="1"/>
    <s v="大连"/>
    <n v="0"/>
    <n v="0"/>
    <m/>
    <m/>
  </r>
  <r>
    <x v="2"/>
    <s v="大连"/>
    <n v="598"/>
    <n v="620"/>
    <n v="0.96451612903225803"/>
    <n v="2"/>
  </r>
  <r>
    <x v="3"/>
    <s v="大连"/>
    <n v="0"/>
    <n v="0"/>
    <m/>
    <m/>
  </r>
  <r>
    <x v="4"/>
    <s v="大连"/>
    <n v="21"/>
    <n v="21"/>
    <n v="1"/>
    <n v="2"/>
  </r>
  <r>
    <x v="0"/>
    <s v="江苏"/>
    <n v="3329"/>
    <n v="3401"/>
    <n v="0.97882975595413113"/>
    <n v="2"/>
  </r>
  <r>
    <x v="1"/>
    <s v="江苏"/>
    <n v="6"/>
    <n v="9"/>
    <n v="0.66666666666666663"/>
    <n v="0"/>
  </r>
  <r>
    <x v="2"/>
    <s v="江苏"/>
    <n v="73"/>
    <n v="75"/>
    <n v="0.97333333333333338"/>
    <n v="2"/>
  </r>
  <r>
    <x v="3"/>
    <s v="江苏"/>
    <n v="1033"/>
    <n v="1099"/>
    <n v="0.93994540491355782"/>
    <n v="2"/>
  </r>
  <r>
    <x v="4"/>
    <s v="江苏"/>
    <n v="32"/>
    <n v="32"/>
    <n v="1"/>
    <n v="2"/>
  </r>
  <r>
    <x v="0"/>
    <s v="山东"/>
    <n v="3596"/>
    <n v="3629"/>
    <n v="0.99090658583631852"/>
    <n v="2"/>
  </r>
  <r>
    <x v="1"/>
    <s v="山东"/>
    <n v="27"/>
    <n v="27"/>
    <n v="1"/>
    <n v="2"/>
  </r>
  <r>
    <x v="2"/>
    <s v="山东"/>
    <n v="152"/>
    <n v="153"/>
    <n v="0.99346405228758172"/>
    <n v="2"/>
  </r>
  <r>
    <x v="3"/>
    <s v="山东"/>
    <n v="1831"/>
    <n v="1899"/>
    <n v="0.96419167983149023"/>
    <n v="2"/>
  </r>
  <r>
    <x v="4"/>
    <s v="山东"/>
    <n v="89"/>
    <n v="89"/>
    <n v="1"/>
    <n v="2"/>
  </r>
  <r>
    <x v="0"/>
    <s v="青岛"/>
    <n v="836"/>
    <n v="854"/>
    <n v="0.97892271662763464"/>
    <n v="2"/>
  </r>
  <r>
    <x v="1"/>
    <s v="青岛"/>
    <n v="0"/>
    <n v="0"/>
    <m/>
    <m/>
  </r>
  <r>
    <x v="2"/>
    <s v="青岛"/>
    <n v="0"/>
    <n v="0"/>
    <m/>
    <m/>
  </r>
  <r>
    <x v="3"/>
    <s v="青岛"/>
    <n v="0"/>
    <n v="0"/>
    <m/>
    <m/>
  </r>
  <r>
    <x v="4"/>
    <s v="青岛"/>
    <n v="15"/>
    <n v="15"/>
    <n v="1"/>
    <n v="2"/>
  </r>
  <r>
    <x v="0"/>
    <s v="河南"/>
    <n v="3224"/>
    <n v="3280"/>
    <n v="0.98292682926829267"/>
    <n v="2"/>
  </r>
  <r>
    <x v="1"/>
    <s v="河南"/>
    <n v="6"/>
    <n v="6"/>
    <n v="1"/>
    <n v="2"/>
  </r>
  <r>
    <x v="2"/>
    <s v="河南"/>
    <n v="337"/>
    <n v="338"/>
    <n v="0.99704142011834318"/>
    <n v="2"/>
  </r>
  <r>
    <x v="3"/>
    <s v="河南"/>
    <n v="1042"/>
    <n v="1056"/>
    <n v="0.9867424242424242"/>
    <n v="2"/>
  </r>
  <r>
    <x v="4"/>
    <s v="河南"/>
    <n v="38"/>
    <n v="38"/>
    <n v="1"/>
    <n v="2"/>
  </r>
  <r>
    <x v="0"/>
    <s v="广东"/>
    <n v="929"/>
    <n v="947"/>
    <n v="0.98099260823653645"/>
    <n v="2"/>
  </r>
  <r>
    <x v="1"/>
    <s v="广东"/>
    <n v="0"/>
    <n v="0"/>
    <m/>
    <m/>
  </r>
  <r>
    <x v="2"/>
    <s v="广东"/>
    <n v="2"/>
    <n v="2"/>
    <n v="1"/>
    <n v="2"/>
  </r>
  <r>
    <x v="3"/>
    <s v="广东"/>
    <n v="95"/>
    <n v="96"/>
    <n v="0.98958333333333337"/>
    <n v="2"/>
  </r>
  <r>
    <x v="4"/>
    <s v="广东"/>
    <n v="14"/>
    <n v="15"/>
    <n v="0.93333333333333335"/>
    <n v="2"/>
  </r>
  <r>
    <x v="0"/>
    <s v="四川"/>
    <n v="1494"/>
    <n v="1521"/>
    <n v="0.98224852071005919"/>
    <n v="2"/>
  </r>
  <r>
    <x v="1"/>
    <s v="四川"/>
    <n v="1"/>
    <n v="1"/>
    <n v="1"/>
    <n v="2"/>
  </r>
  <r>
    <x v="2"/>
    <s v="四川"/>
    <n v="11"/>
    <n v="11"/>
    <n v="1"/>
    <n v="2"/>
  </r>
  <r>
    <x v="3"/>
    <s v="四川"/>
    <n v="329"/>
    <n v="352"/>
    <n v="0.93465909090909094"/>
    <n v="2"/>
  </r>
  <r>
    <x v="4"/>
    <s v="四川"/>
    <n v="11"/>
    <n v="14"/>
    <n v="0.7857142857142857"/>
    <n v="0"/>
  </r>
</pivotCacheRecords>
</file>

<file path=xl/pivotCache/pivotCacheRecords3.xml><?xml version="1.0" encoding="utf-8"?>
<pivotCacheRecords xmlns="http://schemas.openxmlformats.org/spreadsheetml/2006/main" xmlns:r="http://schemas.openxmlformats.org/officeDocument/2006/relationships" count="50">
  <r>
    <x v="0"/>
    <s v="北京"/>
    <n v="322"/>
    <n v="340"/>
    <n v="0.94705882352941173"/>
    <n v="1"/>
  </r>
  <r>
    <x v="1"/>
    <s v="北京"/>
    <n v="3"/>
    <n v="3"/>
    <n v="1"/>
    <n v="2"/>
  </r>
  <r>
    <x v="2"/>
    <s v="北京"/>
    <n v="10"/>
    <n v="10"/>
    <n v="1"/>
    <n v="2"/>
  </r>
  <r>
    <x v="3"/>
    <s v="北京"/>
    <n v="383"/>
    <n v="401"/>
    <n v="0.95511221945137159"/>
    <n v="2"/>
  </r>
  <r>
    <x v="4"/>
    <s v="北京"/>
    <n v="21"/>
    <n v="23"/>
    <n v="0.91304347826086951"/>
    <n v="1"/>
  </r>
  <r>
    <x v="0"/>
    <s v="天津"/>
    <n v="2611"/>
    <n v="2736"/>
    <n v="0.95431286549707606"/>
    <n v="2"/>
  </r>
  <r>
    <x v="1"/>
    <s v="天津"/>
    <n v="14"/>
    <n v="16"/>
    <n v="0.875"/>
    <n v="0"/>
  </r>
  <r>
    <x v="2"/>
    <s v="天津"/>
    <n v="419"/>
    <n v="442"/>
    <n v="0.94796380090497734"/>
    <n v="1"/>
  </r>
  <r>
    <x v="3"/>
    <s v="天津"/>
    <n v="244"/>
    <n v="255"/>
    <n v="0.95686274509803926"/>
    <n v="2"/>
  </r>
  <r>
    <x v="4"/>
    <s v="天津"/>
    <n v="38"/>
    <n v="38"/>
    <n v="1"/>
    <n v="2"/>
  </r>
  <r>
    <x v="0"/>
    <s v="辽宁"/>
    <n v="3722"/>
    <n v="3911"/>
    <n v="0.95167476348759905"/>
    <n v="2"/>
  </r>
  <r>
    <x v="1"/>
    <s v="辽宁"/>
    <n v="0"/>
    <n v="0"/>
    <m/>
    <m/>
  </r>
  <r>
    <x v="2"/>
    <s v="辽宁"/>
    <n v="0"/>
    <n v="0"/>
    <m/>
    <m/>
  </r>
  <r>
    <x v="3"/>
    <s v="辽宁"/>
    <n v="2317"/>
    <n v="2458"/>
    <n v="0.94263628966639545"/>
    <n v="1"/>
  </r>
  <r>
    <x v="4"/>
    <s v="辽宁"/>
    <n v="86"/>
    <n v="87"/>
    <n v="0.9885057471264368"/>
    <n v="2"/>
  </r>
  <r>
    <x v="0"/>
    <s v="大连"/>
    <n v="498"/>
    <n v="551"/>
    <n v="0.90381125226860259"/>
    <n v="1"/>
  </r>
  <r>
    <x v="1"/>
    <s v="大连"/>
    <n v="0"/>
    <n v="0"/>
    <m/>
    <m/>
  </r>
  <r>
    <x v="2"/>
    <s v="大连"/>
    <n v="587"/>
    <n v="620"/>
    <n v="0.9467741935483871"/>
    <n v="1"/>
  </r>
  <r>
    <x v="3"/>
    <s v="大连"/>
    <n v="0"/>
    <n v="0"/>
    <m/>
    <m/>
  </r>
  <r>
    <x v="4"/>
    <s v="大连"/>
    <n v="20"/>
    <n v="21"/>
    <n v="0.95238095238095233"/>
    <n v="2"/>
  </r>
  <r>
    <x v="0"/>
    <s v="江苏"/>
    <n v="3185"/>
    <n v="3401"/>
    <n v="0.93648926786239339"/>
    <n v="1"/>
  </r>
  <r>
    <x v="1"/>
    <s v="江苏"/>
    <n v="4"/>
    <n v="9"/>
    <n v="0.44444444444444442"/>
    <n v="0"/>
  </r>
  <r>
    <x v="2"/>
    <s v="江苏"/>
    <n v="66"/>
    <n v="75"/>
    <n v="0.88"/>
    <n v="0"/>
  </r>
  <r>
    <x v="3"/>
    <s v="江苏"/>
    <n v="991"/>
    <n v="1099"/>
    <n v="0.90172884440400369"/>
    <n v="1"/>
  </r>
  <r>
    <x v="4"/>
    <s v="江苏"/>
    <n v="32"/>
    <n v="32"/>
    <n v="1"/>
    <n v="2"/>
  </r>
  <r>
    <x v="0"/>
    <s v="山东"/>
    <n v="3493"/>
    <n v="3629"/>
    <n v="0.96252411132543403"/>
    <n v="2"/>
  </r>
  <r>
    <x v="1"/>
    <s v="山东"/>
    <n v="27"/>
    <n v="27"/>
    <n v="1"/>
    <n v="2"/>
  </r>
  <r>
    <x v="2"/>
    <s v="山东"/>
    <n v="152"/>
    <n v="153"/>
    <n v="0.99346405228758172"/>
    <n v="2"/>
  </r>
  <r>
    <x v="3"/>
    <s v="山东"/>
    <n v="1741"/>
    <n v="1899"/>
    <n v="0.91679831490258035"/>
    <n v="1"/>
  </r>
  <r>
    <x v="4"/>
    <s v="山东"/>
    <n v="88"/>
    <n v="89"/>
    <n v="0.9887640449438202"/>
    <n v="2"/>
  </r>
  <r>
    <x v="0"/>
    <s v="青岛"/>
    <n v="805"/>
    <n v="854"/>
    <n v="0.94262295081967218"/>
    <n v="1"/>
  </r>
  <r>
    <x v="1"/>
    <s v="青岛"/>
    <n v="0"/>
    <n v="0"/>
    <m/>
    <m/>
  </r>
  <r>
    <x v="2"/>
    <s v="青岛"/>
    <n v="0"/>
    <n v="0"/>
    <m/>
    <m/>
  </r>
  <r>
    <x v="3"/>
    <s v="青岛"/>
    <n v="0"/>
    <n v="0"/>
    <m/>
    <m/>
  </r>
  <r>
    <x v="4"/>
    <s v="青岛"/>
    <n v="15"/>
    <n v="15"/>
    <n v="1"/>
    <n v="2"/>
  </r>
  <r>
    <x v="0"/>
    <s v="河南"/>
    <n v="3121"/>
    <n v="3280"/>
    <n v="0.95152439024390245"/>
    <n v="2"/>
  </r>
  <r>
    <x v="1"/>
    <s v="河南"/>
    <n v="6"/>
    <n v="6"/>
    <n v="1"/>
    <n v="2"/>
  </r>
  <r>
    <x v="2"/>
    <s v="河南"/>
    <n v="335"/>
    <n v="338"/>
    <n v="0.99112426035502954"/>
    <n v="2"/>
  </r>
  <r>
    <x v="3"/>
    <s v="河南"/>
    <n v="1004"/>
    <n v="1056"/>
    <n v="0.9507575757575758"/>
    <n v="2"/>
  </r>
  <r>
    <x v="4"/>
    <s v="河南"/>
    <n v="36"/>
    <n v="38"/>
    <n v="0.94736842105263153"/>
    <n v="1"/>
  </r>
  <r>
    <x v="0"/>
    <s v="广东"/>
    <n v="919"/>
    <n v="947"/>
    <n v="0.97043294614572329"/>
    <n v="2"/>
  </r>
  <r>
    <x v="1"/>
    <s v="广东"/>
    <n v="0"/>
    <n v="0"/>
    <m/>
    <m/>
  </r>
  <r>
    <x v="2"/>
    <s v="广东"/>
    <n v="2"/>
    <n v="2"/>
    <n v="1"/>
    <n v="2"/>
  </r>
  <r>
    <x v="3"/>
    <s v="广东"/>
    <n v="93"/>
    <n v="96"/>
    <n v="0.96875"/>
    <n v="2"/>
  </r>
  <r>
    <x v="4"/>
    <s v="广东"/>
    <n v="14"/>
    <n v="15"/>
    <n v="0.93333333333333335"/>
    <n v="1"/>
  </r>
  <r>
    <x v="0"/>
    <s v="四川"/>
    <n v="1466"/>
    <n v="1521"/>
    <n v="0.96383957922419461"/>
    <n v="2"/>
  </r>
  <r>
    <x v="1"/>
    <s v="四川"/>
    <n v="1"/>
    <n v="1"/>
    <n v="1"/>
    <n v="2"/>
  </r>
  <r>
    <x v="2"/>
    <s v="四川"/>
    <n v="11"/>
    <n v="11"/>
    <n v="1"/>
    <n v="2"/>
  </r>
  <r>
    <x v="3"/>
    <s v="四川"/>
    <n v="329"/>
    <n v="352"/>
    <n v="0.93465909090909094"/>
    <n v="1"/>
  </r>
  <r>
    <x v="4"/>
    <s v="四川"/>
    <n v="11"/>
    <n v="14"/>
    <n v="0.7857142857142857"/>
    <n v="0"/>
  </r>
</pivotCacheRecords>
</file>

<file path=xl/pivotCache/pivotCacheRecords4.xml><?xml version="1.0" encoding="utf-8"?>
<pivotCacheRecords xmlns="http://schemas.openxmlformats.org/spreadsheetml/2006/main" xmlns:r="http://schemas.openxmlformats.org/officeDocument/2006/relationships" count="1449">
  <r>
    <x v="0"/>
    <n v="136.84100000000001"/>
    <n v="137.14169999999999"/>
    <n v="0.99780737733307956"/>
    <n v="3"/>
  </r>
  <r>
    <x v="1"/>
    <n v="32.282800000000002"/>
    <n v="32.65"/>
    <n v="0.98875344563552836"/>
    <n v="3"/>
  </r>
  <r>
    <x v="2"/>
    <n v="0.42659999999999998"/>
    <n v="0.42659999999999998"/>
    <n v="1"/>
    <n v="3"/>
  </r>
  <r>
    <x v="3"/>
    <n v="0.76080000000000003"/>
    <n v="1.3516999999999999"/>
    <n v="0.56284678552933343"/>
    <n v="0"/>
  </r>
  <r>
    <x v="4"/>
    <n v="170.31120000000001"/>
    <n v="171.57"/>
    <n v="0.99266305298129043"/>
    <n v="3"/>
  </r>
  <r>
    <x v="0"/>
    <n v="707.10299999999995"/>
    <n v="753.34379999999999"/>
    <n v="0.93861925989169881"/>
    <n v="3"/>
  </r>
  <r>
    <x v="2"/>
    <n v="67.568399999999997"/>
    <n v="68.629400000000004"/>
    <n v="0.98454015334535927"/>
    <n v="3"/>
  </r>
  <r>
    <x v="3"/>
    <n v="7.8707000000000003"/>
    <n v="7.8716999999999997"/>
    <n v="0.99987296263831194"/>
    <n v="3"/>
  </r>
  <r>
    <x v="4"/>
    <n v="782.5421"/>
    <n v="829.84490000000005"/>
    <n v="0.94299802288355328"/>
    <n v="3"/>
  </r>
  <r>
    <x v="0"/>
    <n v="155.9357"/>
    <n v="178.5959"/>
    <n v="0.87312026759852834"/>
    <n v="1.5"/>
  </r>
  <r>
    <x v="3"/>
    <n v="6.6516000000000002"/>
    <n v="6.6521999999999997"/>
    <n v="0.99990980427527731"/>
    <n v="3"/>
  </r>
  <r>
    <x v="4"/>
    <n v="162.5873"/>
    <n v="185.24809999999999"/>
    <n v="0.87767323929368235"/>
    <n v="1.5"/>
  </r>
  <r>
    <x v="0"/>
    <n v="54.380600000000001"/>
    <n v="54.393099999999997"/>
    <n v="0.99977019143972301"/>
    <n v="3"/>
  </r>
  <r>
    <x v="1"/>
    <n v="131.4083"/>
    <n v="134.2911"/>
    <n v="0.97853320138117861"/>
    <n v="3"/>
  </r>
  <r>
    <x v="2"/>
    <n v="213.2647"/>
    <n v="224.56010000000001"/>
    <n v="0.94969987989852156"/>
    <n v="3"/>
  </r>
  <r>
    <x v="3"/>
    <n v="5.7061999999999999"/>
    <n v="5.8571999999999997"/>
    <n v="0.97421976370962238"/>
    <n v="3"/>
  </r>
  <r>
    <x v="4"/>
    <n v="404.75979999999998"/>
    <n v="419.10149999999999"/>
    <n v="0.96577988864272735"/>
    <n v="3"/>
  </r>
  <r>
    <x v="0"/>
    <n v="159.36000000000001"/>
    <n v="163.12260000000001"/>
    <n v="0.97693391351045167"/>
    <n v="3"/>
  </r>
  <r>
    <x v="3"/>
    <n v="3.7120000000000002"/>
    <n v="3.7151999999999998"/>
    <n v="0.99913867355727826"/>
    <n v="3"/>
  </r>
  <r>
    <x v="4"/>
    <n v="163.072"/>
    <n v="166.83779999999999"/>
    <n v="0.97742837654296566"/>
    <n v="3"/>
  </r>
  <r>
    <x v="0"/>
    <n v="178.9451"/>
    <n v="182.19210000000001"/>
    <n v="0.98217815152248644"/>
    <n v="3"/>
  </r>
  <r>
    <x v="3"/>
    <n v="2.2465000000000002"/>
    <n v="2.2465000000000002"/>
    <n v="1"/>
    <n v="3"/>
  </r>
  <r>
    <x v="4"/>
    <n v="181.19159999999999"/>
    <n v="184.43860000000001"/>
    <n v="0.98239522529448819"/>
    <n v="3"/>
  </r>
  <r>
    <x v="0"/>
    <n v="87.126599999999996"/>
    <n v="100.1219"/>
    <n v="0.87020521983701871"/>
    <n v="1.5"/>
  </r>
  <r>
    <x v="3"/>
    <n v="0.53280000000000005"/>
    <n v="0.53220000000000001"/>
    <n v="1"/>
    <n v="3"/>
  </r>
  <r>
    <x v="4"/>
    <n v="87.659400000000005"/>
    <n v="100.6541"/>
    <n v="0.87089745971599763"/>
    <n v="1.5"/>
  </r>
  <r>
    <x v="0"/>
    <n v="28.726299999999998"/>
    <n v="30.122900000000001"/>
    <n v="0.95363660205358713"/>
    <n v="3"/>
  </r>
  <r>
    <x v="3"/>
    <n v="0.43099999999999999"/>
    <n v="0.43099999999999999"/>
    <n v="1"/>
    <n v="3"/>
  </r>
  <r>
    <x v="4"/>
    <n v="29.157299999999999"/>
    <n v="30.553899999999999"/>
    <n v="0.95429061429146522"/>
    <n v="3"/>
  </r>
  <r>
    <x v="0"/>
    <n v="75.346400000000003"/>
    <n v="77.752600000000001"/>
    <n v="0.96905312491157847"/>
    <n v="3"/>
  </r>
  <r>
    <x v="3"/>
    <n v="4.0473999999999997"/>
    <n v="4.0473999999999997"/>
    <n v="1"/>
    <n v="3"/>
  </r>
  <r>
    <x v="4"/>
    <n v="79.393799999999999"/>
    <n v="81.8"/>
    <n v="0.97058435207823957"/>
    <n v="3"/>
  </r>
  <r>
    <x v="0"/>
    <n v="20.437200000000001"/>
    <n v="22.893599999999999"/>
    <n v="0.89270363769787187"/>
    <n v="1.5"/>
  </r>
  <r>
    <x v="4"/>
    <n v="20.437200000000001"/>
    <n v="22.893599999999999"/>
    <n v="0.89270363769787187"/>
    <n v="1.5"/>
  </r>
  <r>
    <x v="0"/>
    <n v="87.534499999999994"/>
    <n v="97.153599999999997"/>
    <n v="0.90099080219363981"/>
    <n v="3"/>
  </r>
  <r>
    <x v="3"/>
    <n v="2.4155000000000002"/>
    <n v="2.4055"/>
    <n v="1"/>
    <n v="3"/>
  </r>
  <r>
    <x v="4"/>
    <n v="89.95"/>
    <n v="99.559100000000001"/>
    <n v="0.90348345856882994"/>
    <n v="3"/>
  </r>
  <r>
    <x v="0"/>
    <n v="31.274899999999999"/>
    <n v="34.829900000000002"/>
    <n v="0.89793252349274622"/>
    <n v="1.5"/>
  </r>
  <r>
    <x v="3"/>
    <n v="1.0065"/>
    <n v="1.0065"/>
    <n v="1"/>
    <n v="3"/>
  </r>
  <r>
    <x v="4"/>
    <n v="32.281399999999998"/>
    <n v="35.836399999999998"/>
    <n v="0.90079918741837905"/>
    <n v="3"/>
  </r>
  <r>
    <x v="0"/>
    <n v="48.771599999999999"/>
    <n v="56.931100000000001"/>
    <n v="0.85667763313900491"/>
    <n v="1.5"/>
  </r>
  <r>
    <x v="4"/>
    <n v="48.771599999999999"/>
    <n v="56.931100000000001"/>
    <n v="0.85667763313900491"/>
    <n v="1.5"/>
  </r>
  <r>
    <x v="0"/>
    <n v="771.90319999999997"/>
    <n v="819.51340000000005"/>
    <n v="0.94190430565259819"/>
    <n v="3"/>
  </r>
  <r>
    <x v="1"/>
    <n v="131.4083"/>
    <n v="134.2911"/>
    <n v="0.97853320138117861"/>
    <n v="3"/>
  </r>
  <r>
    <x v="2"/>
    <n v="213.2647"/>
    <n v="224.56010000000001"/>
    <n v="0.94969987989852156"/>
    <n v="3"/>
  </r>
  <r>
    <x v="3"/>
    <n v="20.097899999999999"/>
    <n v="20.241499999999998"/>
    <n v="0.99290566410592096"/>
    <n v="3"/>
  </r>
  <r>
    <x v="4"/>
    <n v="1136.6741"/>
    <n v="1198.6061"/>
    <n v="0.94832998096705834"/>
    <n v="3"/>
  </r>
  <r>
    <x v="0"/>
    <n v="13.7719"/>
    <n v="14.4338"/>
    <n v="0.95414236029320065"/>
    <n v="3"/>
  </r>
  <r>
    <x v="1"/>
    <n v="60.548299999999998"/>
    <n v="64.132999999999996"/>
    <n v="0.94410521884209375"/>
    <n v="3"/>
  </r>
  <r>
    <x v="3"/>
    <n v="4.1981999999999999"/>
    <n v="4.6292"/>
    <n v="0.90689535988939773"/>
    <n v="3"/>
  </r>
  <r>
    <x v="4"/>
    <n v="78.5184"/>
    <n v="83.195999999999998"/>
    <n v="0.94377614308380209"/>
    <n v="3"/>
  </r>
  <r>
    <x v="0"/>
    <n v="54.279699999999998"/>
    <n v="54.828200000000002"/>
    <n v="0.98999602394388286"/>
    <n v="3"/>
  </r>
  <r>
    <x v="4"/>
    <n v="54.279699999999998"/>
    <n v="54.828200000000002"/>
    <n v="0.98999602394388286"/>
    <n v="3"/>
  </r>
  <r>
    <x v="0"/>
    <n v="103.3086"/>
    <n v="108.7809"/>
    <n v="0.94969429375929049"/>
    <n v="3"/>
  </r>
  <r>
    <x v="3"/>
    <n v="0"/>
    <n v="0.37980000000000003"/>
    <n v="0"/>
    <n v="0"/>
  </r>
  <r>
    <x v="4"/>
    <n v="103.3086"/>
    <n v="109.16070000000001"/>
    <n v="0.94639004696745255"/>
    <n v="3"/>
  </r>
  <r>
    <x v="0"/>
    <n v="329.70089999999999"/>
    <n v="338.50439999999998"/>
    <n v="0.97399295252882978"/>
    <n v="3"/>
  </r>
  <r>
    <x v="3"/>
    <n v="0.92120000000000002"/>
    <n v="0.92159999999999997"/>
    <n v="0.99956597222222221"/>
    <n v="3"/>
  </r>
  <r>
    <x v="4"/>
    <n v="330.62209999999999"/>
    <n v="339.42599999999999"/>
    <n v="0.97406238767802111"/>
    <n v="3"/>
  </r>
  <r>
    <x v="0"/>
    <n v="21.474499999999999"/>
    <n v="23.549700000000001"/>
    <n v="0.91187998148596372"/>
    <n v="3"/>
  </r>
  <r>
    <x v="3"/>
    <n v="0.32319999999999999"/>
    <n v="0.32300000000000001"/>
    <n v="1"/>
    <n v="3"/>
  </r>
  <r>
    <x v="4"/>
    <n v="21.797699999999999"/>
    <n v="23.872699999999998"/>
    <n v="0.91308063185144539"/>
    <n v="3"/>
  </r>
  <r>
    <x v="0"/>
    <n v="41.0717"/>
    <n v="41.572200000000002"/>
    <n v="0.98796070450926343"/>
    <n v="3"/>
  </r>
  <r>
    <x v="4"/>
    <n v="41.0717"/>
    <n v="41.572200000000002"/>
    <n v="0.98796070450926343"/>
    <n v="3"/>
  </r>
  <r>
    <x v="0"/>
    <n v="262.1465"/>
    <n v="276.12619999999998"/>
    <n v="0.9493720624844727"/>
    <n v="3"/>
  </r>
  <r>
    <x v="3"/>
    <n v="1.659"/>
    <n v="1.6596"/>
    <n v="0.99963846710050619"/>
    <n v="3"/>
  </r>
  <r>
    <x v="4"/>
    <n v="263.80549999999999"/>
    <n v="277.78579999999999"/>
    <n v="0.9496723734618544"/>
    <n v="3"/>
  </r>
  <r>
    <x v="0"/>
    <n v="52.0336"/>
    <n v="53.674100000000003"/>
    <n v="0.9694359104297976"/>
    <n v="3"/>
  </r>
  <r>
    <x v="4"/>
    <n v="52.0336"/>
    <n v="53.674100000000003"/>
    <n v="0.9694359104297976"/>
    <n v="3"/>
  </r>
  <r>
    <x v="0"/>
    <n v="8.9301999999999992"/>
    <n v="9.7895000000000003"/>
    <n v="0.91222227897236841"/>
    <n v="3"/>
  </r>
  <r>
    <x v="4"/>
    <n v="8.9301999999999992"/>
    <n v="9.7895000000000003"/>
    <n v="0.91222227897236841"/>
    <n v="3"/>
  </r>
  <r>
    <x v="0"/>
    <n v="886.71759999999995"/>
    <n v="921.25900000000001"/>
    <n v="0.96250630930064185"/>
    <n v="3"/>
  </r>
  <r>
    <x v="1"/>
    <n v="60.548299999999998"/>
    <n v="64.132999999999996"/>
    <n v="0.94410521884209375"/>
    <n v="3"/>
  </r>
  <r>
    <x v="3"/>
    <n v="7.1016000000000004"/>
    <n v="7.9131999999999998"/>
    <n v="0.89743719355001772"/>
    <n v="1.5"/>
  </r>
  <r>
    <x v="4"/>
    <n v="954.36749999999995"/>
    <n v="993.30520000000001"/>
    <n v="0.96079986292229214"/>
    <n v="3"/>
  </r>
  <r>
    <x v="0"/>
    <n v="197.00909999999999"/>
    <n v="211.87799999999999"/>
    <n v="0.92982329453742252"/>
    <n v="3"/>
  </r>
  <r>
    <x v="1"/>
    <n v="220.649"/>
    <n v="229.46520000000001"/>
    <n v="0.96157935931025706"/>
    <n v="3"/>
  </r>
  <r>
    <x v="3"/>
    <n v="7.0671999999999997"/>
    <n v="7.0671999999999997"/>
    <n v="1"/>
    <n v="3"/>
  </r>
  <r>
    <x v="4"/>
    <n v="424.7253"/>
    <n v="448.41039999999998"/>
    <n v="0.94717986023517742"/>
    <n v="3"/>
  </r>
  <r>
    <x v="0"/>
    <n v="24.020299999999999"/>
    <n v="27.741099999999999"/>
    <n v="0.86587410016185373"/>
    <n v="1.5"/>
  </r>
  <r>
    <x v="4"/>
    <n v="24.020299999999999"/>
    <n v="27.741099999999999"/>
    <n v="0.86587410016185373"/>
    <n v="1.5"/>
  </r>
  <r>
    <x v="0"/>
    <n v="158.2962"/>
    <n v="165.00059999999999"/>
    <n v="0.95936742048210732"/>
    <n v="3"/>
  </r>
  <r>
    <x v="3"/>
    <n v="0.80910000000000004"/>
    <n v="0.80810000000000004"/>
    <n v="1"/>
    <n v="3"/>
  </r>
  <r>
    <x v="4"/>
    <n v="159.1053"/>
    <n v="165.80869999999999"/>
    <n v="0.95957148207542786"/>
    <n v="3"/>
  </r>
  <r>
    <x v="0"/>
    <n v="77.951999999999998"/>
    <n v="83.268100000000004"/>
    <n v="0.93615682356148389"/>
    <n v="3"/>
  </r>
  <r>
    <x v="3"/>
    <n v="0.9819"/>
    <n v="0.98340000000000005"/>
    <n v="0.9984746796827334"/>
    <n v="3"/>
  </r>
  <r>
    <x v="4"/>
    <n v="78.933899999999994"/>
    <n v="84.251499999999993"/>
    <n v="0.93688420977668052"/>
    <n v="3"/>
  </r>
  <r>
    <x v="0"/>
    <n v="140.5762"/>
    <n v="147.9675"/>
    <n v="0.95004781455387166"/>
    <n v="3"/>
  </r>
  <r>
    <x v="3"/>
    <n v="1.5698000000000001"/>
    <n v="1.5632999999999999"/>
    <n v="1"/>
    <n v="3"/>
  </r>
  <r>
    <x v="4"/>
    <n v="142.14599999999999"/>
    <n v="149.5308"/>
    <n v="0.9506135190877063"/>
    <n v="3"/>
  </r>
  <r>
    <x v="0"/>
    <n v="70.619200000000006"/>
    <n v="81.335999999999999"/>
    <n v="0.86824038556112915"/>
    <n v="1.5"/>
  </r>
  <r>
    <x v="3"/>
    <n v="1.0326"/>
    <n v="1.0326"/>
    <n v="1"/>
    <n v="3"/>
  </r>
  <r>
    <x v="4"/>
    <n v="71.651799999999994"/>
    <n v="82.368600000000001"/>
    <n v="0.86989216764640898"/>
    <n v="1.5"/>
  </r>
  <r>
    <x v="0"/>
    <n v="195.6268"/>
    <n v="209.78960000000001"/>
    <n v="0.93249045710559531"/>
    <n v="3"/>
  </r>
  <r>
    <x v="3"/>
    <n v="4.7548000000000004"/>
    <n v="4.7546999999999997"/>
    <n v="1"/>
    <n v="3"/>
  </r>
  <r>
    <x v="4"/>
    <n v="200.38159999999999"/>
    <n v="214.54429999999999"/>
    <n v="0.93398706001511111"/>
    <n v="3"/>
  </r>
  <r>
    <x v="0"/>
    <n v="55.404200000000003"/>
    <n v="57.3673"/>
    <n v="0.96578015698838882"/>
    <n v="3"/>
  </r>
  <r>
    <x v="4"/>
    <n v="55.404200000000003"/>
    <n v="57.3673"/>
    <n v="0.96578015698838882"/>
    <n v="3"/>
  </r>
  <r>
    <x v="0"/>
    <n v="42.330100000000002"/>
    <n v="46.513199999999998"/>
    <n v="0.91006638975602627"/>
    <n v="3"/>
  </r>
  <r>
    <x v="4"/>
    <n v="42.330100000000002"/>
    <n v="46.513199999999998"/>
    <n v="0.91006638975602627"/>
    <n v="3"/>
  </r>
  <r>
    <x v="0"/>
    <n v="961.83410000000003"/>
    <n v="1030.8614"/>
    <n v="0.93303920391237849"/>
    <n v="3"/>
  </r>
  <r>
    <x v="1"/>
    <n v="220.649"/>
    <n v="229.46520000000001"/>
    <n v="0.96157935931025706"/>
    <n v="3"/>
  </r>
  <r>
    <x v="3"/>
    <n v="16.215399999999999"/>
    <n v="16.209299999999999"/>
    <n v="1"/>
    <n v="3"/>
  </r>
  <r>
    <x v="4"/>
    <n v="1198.6985"/>
    <n v="1276.5359000000001"/>
    <n v="0.9390245115707283"/>
    <n v="3"/>
  </r>
  <r>
    <x v="0"/>
    <n v="18.217400000000001"/>
    <n v="18.612500000000001"/>
    <n v="0.97877233042310274"/>
    <n v="3"/>
  </r>
  <r>
    <x v="2"/>
    <n v="24.818899999999999"/>
    <n v="24.818899999999999"/>
    <n v="1"/>
    <n v="3"/>
  </r>
  <r>
    <x v="3"/>
    <n v="7"/>
    <n v="7"/>
    <n v="1"/>
    <n v="3"/>
  </r>
  <r>
    <x v="4"/>
    <n v="50.036299999999997"/>
    <n v="50.431399999999996"/>
    <n v="0.99216559524423276"/>
    <n v="3"/>
  </r>
  <r>
    <x v="0"/>
    <n v="48.2089"/>
    <n v="52.625100000000003"/>
    <n v="0.91608186967815741"/>
    <n v="3"/>
  </r>
  <r>
    <x v="4"/>
    <n v="48.2089"/>
    <n v="52.625100000000003"/>
    <n v="0.91608186967815741"/>
    <n v="3"/>
  </r>
  <r>
    <x v="0"/>
    <n v="79.554100000000005"/>
    <n v="86.038300000000007"/>
    <n v="0.92463588890064075"/>
    <n v="3"/>
  </r>
  <r>
    <x v="4"/>
    <n v="79.554100000000005"/>
    <n v="86.038300000000007"/>
    <n v="0.92463588890064075"/>
    <n v="3"/>
  </r>
  <r>
    <x v="0"/>
    <n v="22.575299999999999"/>
    <n v="26.491399999999999"/>
    <n v="0.85217466800546593"/>
    <n v="1.5"/>
  </r>
  <r>
    <x v="4"/>
    <n v="22.575299999999999"/>
    <n v="26.491399999999999"/>
    <n v="0.85217466800546593"/>
    <n v="1.5"/>
  </r>
  <r>
    <x v="0"/>
    <n v="168.5557"/>
    <n v="183.76730000000001"/>
    <n v="0.91722357568511914"/>
    <n v="3"/>
  </r>
  <r>
    <x v="2"/>
    <n v="24.818899999999999"/>
    <n v="24.818899999999999"/>
    <n v="1"/>
    <n v="3"/>
  </r>
  <r>
    <x v="3"/>
    <n v="7"/>
    <n v="7"/>
    <n v="1"/>
    <n v="3"/>
  </r>
  <r>
    <x v="4"/>
    <n v="200.37459999999999"/>
    <n v="215.58619999999999"/>
    <n v="0.92944075270123971"/>
    <n v="3"/>
  </r>
  <r>
    <x v="0"/>
    <n v="308.21530000000001"/>
    <n v="323.03719999999998"/>
    <n v="0.954117049058127"/>
    <n v="3"/>
  </r>
  <r>
    <x v="1"/>
    <n v="23.718299999999999"/>
    <n v="27.225300000000001"/>
    <n v="0.8711859924408546"/>
    <n v="1.5"/>
  </r>
  <r>
    <x v="2"/>
    <n v="110.6534"/>
    <n v="136.59739999999999"/>
    <n v="0.81006959136850332"/>
    <n v="1.5"/>
  </r>
  <r>
    <x v="3"/>
    <n v="12.5107"/>
    <n v="12.5451"/>
    <n v="0.99725789352017924"/>
    <n v="3"/>
  </r>
  <r>
    <x v="4"/>
    <n v="455.09769999999997"/>
    <n v="499.40499999999997"/>
    <n v="0.91127982298935728"/>
    <n v="3"/>
  </r>
  <r>
    <x v="0"/>
    <n v="70.817499999999995"/>
    <n v="76.601200000000006"/>
    <n v="0.92449596089878483"/>
    <n v="3"/>
  </r>
  <r>
    <x v="2"/>
    <n v="69.831400000000002"/>
    <n v="70.586600000000004"/>
    <n v="0.98930108547514684"/>
    <n v="3"/>
  </r>
  <r>
    <x v="3"/>
    <n v="1.7212000000000001"/>
    <n v="1.7212000000000001"/>
    <n v="1"/>
    <n v="3"/>
  </r>
  <r>
    <x v="4"/>
    <n v="142.37010000000001"/>
    <n v="148.90899999999999"/>
    <n v="0.95608794632963756"/>
    <n v="3"/>
  </r>
  <r>
    <x v="0"/>
    <n v="37.323500000000003"/>
    <n v="42.063099999999999"/>
    <n v="0.88732166673402579"/>
    <n v="1.5"/>
  </r>
  <r>
    <x v="4"/>
    <n v="37.323500000000003"/>
    <n v="42.063099999999999"/>
    <n v="0.88732166673402579"/>
    <n v="1.5"/>
  </r>
  <r>
    <x v="0"/>
    <n v="138.96180000000001"/>
    <n v="184.14250000000001"/>
    <n v="0.75464273592462361"/>
    <n v="0"/>
  </r>
  <r>
    <x v="3"/>
    <n v="0.60340000000000005"/>
    <n v="0.60340000000000005"/>
    <n v="1"/>
    <n v="3"/>
  </r>
  <r>
    <x v="4"/>
    <n v="139.5652"/>
    <n v="184.74590000000001"/>
    <n v="0.75544409916539423"/>
    <n v="0"/>
  </r>
  <r>
    <x v="0"/>
    <n v="11.754"/>
    <n v="15.792299999999999"/>
    <n v="0.7442867726676925"/>
    <n v="0"/>
  </r>
  <r>
    <x v="4"/>
    <n v="11.754"/>
    <n v="15.792299999999999"/>
    <n v="0.7442867726676925"/>
    <n v="0"/>
  </r>
  <r>
    <x v="0"/>
    <n v="41.386899999999997"/>
    <n v="45.114600000000003"/>
    <n v="0.91737264654901074"/>
    <n v="3"/>
  </r>
  <r>
    <x v="4"/>
    <n v="41.386899999999997"/>
    <n v="45.114600000000003"/>
    <n v="0.91737264654901074"/>
    <n v="3"/>
  </r>
  <r>
    <x v="0"/>
    <n v="63.352899999999998"/>
    <n v="70.340999999999994"/>
    <n v="0.90065395715159013"/>
    <n v="3"/>
  </r>
  <r>
    <x v="4"/>
    <n v="63.352899999999998"/>
    <n v="70.340999999999994"/>
    <n v="0.90065395715159013"/>
    <n v="3"/>
  </r>
  <r>
    <x v="0"/>
    <n v="671.81190000000004"/>
    <n v="757.09190000000001"/>
    <n v="0.88735845674745695"/>
    <n v="1.5"/>
  </r>
  <r>
    <x v="1"/>
    <n v="23.718299999999999"/>
    <n v="27.225300000000001"/>
    <n v="0.8711859924408546"/>
    <n v="1.5"/>
  </r>
  <r>
    <x v="2"/>
    <n v="180.48480000000001"/>
    <n v="207.184"/>
    <n v="0.87113290601590854"/>
    <n v="1.5"/>
  </r>
  <r>
    <x v="3"/>
    <n v="14.8353"/>
    <n v="14.8697"/>
    <n v="0.99768657067728328"/>
    <n v="3"/>
  </r>
  <r>
    <x v="4"/>
    <n v="890.85029999999995"/>
    <n v="1006.3709"/>
    <n v="0.88521071108077554"/>
    <n v="1.5"/>
  </r>
  <r>
    <x v="0"/>
    <n v="169.93819999999999"/>
    <n v="181.05789999999999"/>
    <n v="0.93858483943534088"/>
    <n v="3"/>
  </r>
  <r>
    <x v="2"/>
    <n v="157.40440000000001"/>
    <n v="182.27099999999999"/>
    <n v="0.86357347027228692"/>
    <n v="1.5"/>
  </r>
  <r>
    <x v="3"/>
    <n v="5.4649999999999999"/>
    <n v="6.3211000000000004"/>
    <n v="0.86456471183812944"/>
    <n v="1.5"/>
  </r>
  <r>
    <x v="4"/>
    <n v="332.80759999999998"/>
    <n v="369.65"/>
    <n v="0.9003316650885973"/>
    <n v="3"/>
  </r>
  <r>
    <x v="0"/>
    <n v="40.1096"/>
    <n v="40.091500000000003"/>
    <n v="1"/>
    <n v="3"/>
  </r>
  <r>
    <x v="1"/>
    <n v="4.5027999999999997"/>
    <n v="4.5027999999999997"/>
    <n v="1"/>
    <n v="3"/>
  </r>
  <r>
    <x v="2"/>
    <n v="9.7199999999999995E-2"/>
    <n v="9.7199999999999995E-2"/>
    <n v="1"/>
    <n v="3"/>
  </r>
  <r>
    <x v="3"/>
    <n v="0.10440000000000001"/>
    <n v="0.10440000000000001"/>
    <n v="1"/>
    <n v="3"/>
  </r>
  <r>
    <x v="4"/>
    <n v="44.814"/>
    <n v="44.795900000000003"/>
    <n v="1"/>
    <n v="3"/>
  </r>
  <r>
    <x v="0"/>
    <n v="91.391599999999997"/>
    <n v="101.0736"/>
    <n v="0.90420841841984456"/>
    <n v="3"/>
  </r>
  <r>
    <x v="4"/>
    <n v="91.391599999999997"/>
    <n v="101.0736"/>
    <n v="0.90420841841984456"/>
    <n v="3"/>
  </r>
  <r>
    <x v="0"/>
    <n v="14.475"/>
    <n v="62.448300000000003"/>
    <n v="0.23179173812577764"/>
    <n v="0"/>
  </r>
  <r>
    <x v="4"/>
    <n v="14.475"/>
    <n v="62.448300000000003"/>
    <n v="0.23179173812577764"/>
    <n v="0"/>
  </r>
  <r>
    <x v="0"/>
    <n v="145.97620000000001"/>
    <n v="203.61340000000001"/>
    <n v="0.7169282571775728"/>
    <n v="0"/>
  </r>
  <r>
    <x v="1"/>
    <n v="4.5027999999999997"/>
    <n v="4.5027999999999997"/>
    <n v="1"/>
    <n v="3"/>
  </r>
  <r>
    <x v="2"/>
    <n v="9.7199999999999995E-2"/>
    <n v="9.7199999999999995E-2"/>
    <n v="1"/>
    <n v="3"/>
  </r>
  <r>
    <x v="3"/>
    <n v="0.10440000000000001"/>
    <n v="0.10440000000000001"/>
    <n v="1"/>
    <n v="3"/>
  </r>
  <r>
    <x v="4"/>
    <n v="150.6806"/>
    <n v="208.31780000000001"/>
    <n v="0.72332081079965327"/>
    <n v="0"/>
  </r>
  <r>
    <x v="0"/>
    <n v="4776.6166000000003"/>
    <n v="5166.2457000000004"/>
    <n v="0.92458177124638108"/>
    <n v="3"/>
  </r>
  <r>
    <x v="1"/>
    <n v="473.10950000000003"/>
    <n v="492.26740000000001"/>
    <n v="0.96108233045698332"/>
    <n v="3"/>
  </r>
  <r>
    <x v="2"/>
    <n v="644.06500000000005"/>
    <n v="707.98720000000003"/>
    <n v="0.90971277446823895"/>
    <n v="3"/>
  </r>
  <r>
    <x v="3"/>
    <n v="86.102699999999999"/>
    <n v="88.534800000000004"/>
    <n v="0.97252944604833358"/>
    <n v="3"/>
  </r>
  <r>
    <x v="4"/>
    <n v="5979.8937999999998"/>
    <n v="6455.0351000000001"/>
    <n v="0.9263921430884241"/>
    <n v="3"/>
  </r>
  <r>
    <x v="0"/>
    <n v="147.00569999999999"/>
    <n v="152.52979999999999"/>
    <n v="0.96378347050871371"/>
    <n v="3"/>
  </r>
  <r>
    <x v="1"/>
    <n v="39.431399999999996"/>
    <n v="39.431399999999996"/>
    <n v="1"/>
    <n v="3"/>
  </r>
  <r>
    <x v="2"/>
    <n v="0.5494"/>
    <n v="0.5494"/>
    <n v="1"/>
    <n v="3"/>
  </r>
  <r>
    <x v="3"/>
    <n v="12.437200000000001"/>
    <n v="12.437200000000001"/>
    <n v="1"/>
    <n v="3"/>
  </r>
  <r>
    <x v="4"/>
    <n v="199.4237"/>
    <n v="204.9478"/>
    <n v="0.97304630740120168"/>
    <n v="3"/>
  </r>
  <r>
    <x v="0"/>
    <n v="731.89779999999996"/>
    <n v="748.7473"/>
    <n v="0.97749641300876811"/>
    <n v="3"/>
  </r>
  <r>
    <x v="2"/>
    <n v="42.3065"/>
    <n v="42.3065"/>
    <n v="1"/>
    <n v="3"/>
  </r>
  <r>
    <x v="3"/>
    <n v="34"/>
    <n v="34"/>
    <n v="1"/>
    <n v="3"/>
  </r>
  <r>
    <x v="4"/>
    <n v="808.20429999999999"/>
    <n v="825.05380000000002"/>
    <n v="0.97957769541816542"/>
    <n v="3"/>
  </r>
  <r>
    <x v="0"/>
    <n v="189.88820000000001"/>
    <n v="194.4571"/>
    <n v="0.97650432923251451"/>
    <n v="3"/>
  </r>
  <r>
    <x v="2"/>
    <n v="2.3580000000000001"/>
    <n v="2.3580000000000001"/>
    <n v="1"/>
    <n v="3"/>
  </r>
  <r>
    <x v="3"/>
    <n v="14.938800000000001"/>
    <n v="14.938800000000001"/>
    <n v="1"/>
    <n v="3"/>
  </r>
  <r>
    <x v="4"/>
    <n v="207.185"/>
    <n v="211.75389999999999"/>
    <n v="0.97842353788997516"/>
    <n v="3"/>
  </r>
  <r>
    <x v="0"/>
    <n v="24.9102"/>
    <n v="25.544"/>
    <n v="0.97518791105543379"/>
    <n v="3"/>
  </r>
  <r>
    <x v="1"/>
    <n v="27.144500000000001"/>
    <n v="28.4361"/>
    <n v="0.9545788627835744"/>
    <n v="3"/>
  </r>
  <r>
    <x v="2"/>
    <n v="274.62520000000001"/>
    <n v="277.00279999999998"/>
    <n v="0.99141669326086235"/>
    <n v="3"/>
  </r>
  <r>
    <x v="3"/>
    <n v="1.2844"/>
    <n v="1.2844"/>
    <n v="1"/>
    <n v="3"/>
  </r>
  <r>
    <x v="4"/>
    <n v="327.96429999999998"/>
    <n v="332.26729999999998"/>
    <n v="0.987049583272263"/>
    <n v="3"/>
  </r>
  <r>
    <x v="0"/>
    <n v="259.11989999999997"/>
    <n v="260.40730000000002"/>
    <n v="0.99505620618162394"/>
    <n v="3"/>
  </r>
  <r>
    <x v="4"/>
    <n v="259.11989999999997"/>
    <n v="260.40730000000002"/>
    <n v="0.99505620618162394"/>
    <n v="3"/>
  </r>
  <r>
    <x v="0"/>
    <n v="220.79150000000001"/>
    <n v="222.9051"/>
    <n v="0.9905179379027218"/>
    <n v="3"/>
  </r>
  <r>
    <x v="3"/>
    <n v="0.87209999999999999"/>
    <n v="0.87309999999999999"/>
    <n v="0.99885465582407518"/>
    <n v="3"/>
  </r>
  <r>
    <x v="4"/>
    <n v="221.6636"/>
    <n v="223.7782"/>
    <n v="0.99055046470120856"/>
    <n v="3"/>
  </r>
  <r>
    <x v="0"/>
    <n v="85.853300000000004"/>
    <n v="87.159300000000002"/>
    <n v="0.98501594207388077"/>
    <n v="3"/>
  </r>
  <r>
    <x v="3"/>
    <n v="2"/>
    <n v="2"/>
    <n v="1"/>
    <n v="3"/>
  </r>
  <r>
    <x v="4"/>
    <n v="87.853300000000004"/>
    <n v="89.159300000000002"/>
    <n v="0.98535206086185068"/>
    <n v="3"/>
  </r>
  <r>
    <x v="0"/>
    <n v="44.556100000000001"/>
    <n v="50.556100000000001"/>
    <n v="0.88131995941142616"/>
    <n v="1.5"/>
  </r>
  <r>
    <x v="4"/>
    <n v="44.556100000000001"/>
    <n v="50.556100000000001"/>
    <n v="0.88131995941142616"/>
    <n v="1.5"/>
  </r>
  <r>
    <x v="0"/>
    <n v="35.682400000000001"/>
    <n v="35.979300000000002"/>
    <n v="0.99174803289669333"/>
    <n v="3"/>
  </r>
  <r>
    <x v="3"/>
    <n v="16.331299999999999"/>
    <n v="16.331299999999999"/>
    <n v="1"/>
    <n v="3"/>
  </r>
  <r>
    <x v="4"/>
    <n v="52.0137"/>
    <n v="52.310600000000001"/>
    <n v="0.99432428609115553"/>
    <n v="3"/>
  </r>
  <r>
    <x v="0"/>
    <n v="37.1419"/>
    <n v="37.595599999999997"/>
    <n v="0.9879320984370511"/>
    <n v="3"/>
  </r>
  <r>
    <x v="3"/>
    <n v="7"/>
    <n v="7"/>
    <n v="1"/>
    <n v="3"/>
  </r>
  <r>
    <x v="4"/>
    <n v="44.1419"/>
    <n v="44.595599999999997"/>
    <n v="0.98982635058167179"/>
    <n v="3"/>
  </r>
  <r>
    <x v="0"/>
    <n v="69.301699999999997"/>
    <n v="71.852599999999995"/>
    <n v="0.9644981531635598"/>
    <n v="3"/>
  </r>
  <r>
    <x v="3"/>
    <n v="4.4880000000000004"/>
    <n v="4.4880000000000004"/>
    <n v="1"/>
    <n v="3"/>
  </r>
  <r>
    <x v="4"/>
    <n v="73.789699999999996"/>
    <n v="76.340599999999995"/>
    <n v="0.9665852770347626"/>
    <n v="3"/>
  </r>
  <r>
    <x v="0"/>
    <n v="36.070300000000003"/>
    <n v="36.2789"/>
    <n v="0.99425010129855096"/>
    <n v="3"/>
  </r>
  <r>
    <x v="4"/>
    <n v="36.070300000000003"/>
    <n v="36.2789"/>
    <n v="0.99425010129855096"/>
    <n v="3"/>
  </r>
  <r>
    <x v="0"/>
    <n v="813.42729999999995"/>
    <n v="828.27819999999997"/>
    <n v="0.98207015468957171"/>
    <n v="3"/>
  </r>
  <r>
    <x v="1"/>
    <n v="27.144500000000001"/>
    <n v="28.4361"/>
    <n v="0.9545788627835744"/>
    <n v="3"/>
  </r>
  <r>
    <x v="2"/>
    <n v="274.62520000000001"/>
    <n v="277.00279999999998"/>
    <n v="0.99141669326086235"/>
    <n v="3"/>
  </r>
  <r>
    <x v="3"/>
    <n v="31.9758"/>
    <n v="31.976800000000001"/>
    <n v="0.99996872732731235"/>
    <n v="3"/>
  </r>
  <r>
    <x v="4"/>
    <n v="1147.1728000000001"/>
    <n v="1165.6939"/>
    <n v="0.9841115236169633"/>
    <n v="3"/>
  </r>
  <r>
    <x v="0"/>
    <n v="24.275600000000001"/>
    <n v="24.276"/>
    <n v="0.99998352282089309"/>
    <n v="3"/>
  </r>
  <r>
    <x v="1"/>
    <n v="19.4483"/>
    <n v="20.758500000000002"/>
    <n v="0.9368836862008334"/>
    <n v="3"/>
  </r>
  <r>
    <x v="2"/>
    <n v="4.1357999999999997"/>
    <n v="4.1357999999999997"/>
    <n v="1"/>
    <n v="3"/>
  </r>
  <r>
    <x v="3"/>
    <n v="3.4319000000000002"/>
    <n v="3.4319000000000002"/>
    <n v="1"/>
    <n v="3"/>
  </r>
  <r>
    <x v="4"/>
    <n v="51.291600000000003"/>
    <n v="52.602200000000003"/>
    <n v="0.97508469227522798"/>
    <n v="3"/>
  </r>
  <r>
    <x v="0"/>
    <n v="66.0304"/>
    <n v="66.609300000000005"/>
    <n v="0.99130902141292587"/>
    <n v="3"/>
  </r>
  <r>
    <x v="3"/>
    <n v="7.3480999999999996"/>
    <n v="7.3480999999999996"/>
    <n v="1"/>
    <n v="3"/>
  </r>
  <r>
    <x v="4"/>
    <n v="73.378500000000003"/>
    <n v="73.957400000000007"/>
    <n v="0.99217252093772901"/>
    <n v="3"/>
  </r>
  <r>
    <x v="0"/>
    <n v="105.15730000000001"/>
    <n v="105.15049999999999"/>
    <n v="1"/>
    <n v="3"/>
  </r>
  <r>
    <x v="3"/>
    <n v="2.1015000000000001"/>
    <n v="2.1015000000000001"/>
    <n v="1"/>
    <n v="3"/>
  </r>
  <r>
    <x v="4"/>
    <n v="107.25879999999999"/>
    <n v="107.252"/>
    <n v="1"/>
    <n v="3"/>
  </r>
  <r>
    <x v="0"/>
    <n v="355.26420000000002"/>
    <n v="356.43529999999998"/>
    <n v="0.99671441072194589"/>
    <n v="3"/>
  </r>
  <r>
    <x v="3"/>
    <n v="5.1562000000000001"/>
    <n v="5.1562000000000001"/>
    <n v="1"/>
    <n v="3"/>
  </r>
  <r>
    <x v="4"/>
    <n v="360.42039999999997"/>
    <n v="361.5915"/>
    <n v="0.99676126236374474"/>
    <n v="3"/>
  </r>
  <r>
    <x v="0"/>
    <n v="1.4379"/>
    <n v="1.4379"/>
    <n v="1"/>
    <n v="3"/>
  </r>
  <r>
    <x v="3"/>
    <n v="2"/>
    <n v="2"/>
    <n v="1"/>
    <n v="3"/>
  </r>
  <r>
    <x v="4"/>
    <n v="3.4379"/>
    <n v="3.4379"/>
    <n v="1"/>
    <n v="3"/>
  </r>
  <r>
    <x v="0"/>
    <n v="31.934000000000001"/>
    <n v="34.295299999999997"/>
    <n v="0.93114799987170249"/>
    <n v="3"/>
  </r>
  <r>
    <x v="3"/>
    <n v="0.36"/>
    <n v="0.36"/>
    <n v="1"/>
    <n v="3"/>
  </r>
  <r>
    <x v="4"/>
    <n v="32.293999999999997"/>
    <n v="34.655299999999997"/>
    <n v="0.93186323592639508"/>
    <n v="3"/>
  </r>
  <r>
    <x v="0"/>
    <n v="270.49939999999998"/>
    <n v="279.20909999999998"/>
    <n v="0.96880581614281192"/>
    <n v="3"/>
  </r>
  <r>
    <x v="3"/>
    <n v="6.3715999999999999"/>
    <n v="6.3715999999999999"/>
    <n v="1"/>
    <n v="3"/>
  </r>
  <r>
    <x v="4"/>
    <n v="276.87099999999998"/>
    <n v="285.58069999999998"/>
    <n v="0.96950179056217733"/>
    <n v="3"/>
  </r>
  <r>
    <x v="0"/>
    <n v="10.726800000000001"/>
    <n v="10.729900000000001"/>
    <n v="0.99971108770817996"/>
    <n v="3"/>
  </r>
  <r>
    <x v="3"/>
    <n v="0.85350000000000004"/>
    <n v="1.0423"/>
    <n v="0.81886213182385115"/>
    <n v="1.5"/>
  </r>
  <r>
    <x v="4"/>
    <n v="11.580299999999999"/>
    <n v="11.7722"/>
    <n v="0.98369888381101234"/>
    <n v="3"/>
  </r>
  <r>
    <x v="0"/>
    <n v="19.217600000000001"/>
    <n v="19.217600000000001"/>
    <n v="1"/>
    <n v="3"/>
  </r>
  <r>
    <x v="4"/>
    <n v="19.217600000000001"/>
    <n v="19.217600000000001"/>
    <n v="1"/>
    <n v="3"/>
  </r>
  <r>
    <x v="0"/>
    <n v="884.54319999999996"/>
    <n v="897.36090000000002"/>
    <n v="0.98571622632543943"/>
    <n v="3"/>
  </r>
  <r>
    <x v="1"/>
    <n v="19.4483"/>
    <n v="20.758500000000002"/>
    <n v="0.9368836862008334"/>
    <n v="3"/>
  </r>
  <r>
    <x v="2"/>
    <n v="4.1357999999999997"/>
    <n v="4.1357999999999997"/>
    <n v="1"/>
    <n v="3"/>
  </r>
  <r>
    <x v="3"/>
    <n v="27.622800000000002"/>
    <n v="27.811599999999999"/>
    <n v="0.99321146571934016"/>
    <n v="3"/>
  </r>
  <r>
    <x v="4"/>
    <n v="935.75009999999997"/>
    <n v="950.06679999999994"/>
    <n v="0.98493084907292838"/>
    <n v="3"/>
  </r>
  <r>
    <x v="0"/>
    <n v="469.87079999999997"/>
    <n v="474.91890000000001"/>
    <n v="0.9893706062235047"/>
    <n v="3"/>
  </r>
  <r>
    <x v="1"/>
    <n v="63.825499999999998"/>
    <n v="64.912700000000001"/>
    <n v="0.98325135143045972"/>
    <n v="3"/>
  </r>
  <r>
    <x v="2"/>
    <n v="0.94399999999999995"/>
    <n v="0.94399999999999995"/>
    <n v="1"/>
    <n v="3"/>
  </r>
  <r>
    <x v="3"/>
    <n v="36.336599999999997"/>
    <n v="36.546500000000002"/>
    <n v="0.99425663196202096"/>
    <n v="3"/>
  </r>
  <r>
    <x v="4"/>
    <n v="570.9769"/>
    <n v="577.32209999999998"/>
    <n v="0.98900925497222436"/>
    <n v="3"/>
  </r>
  <r>
    <x v="0"/>
    <n v="8.7098999999999993"/>
    <n v="9.2121999999999993"/>
    <n v="0.9454744794945833"/>
    <n v="3"/>
  </r>
  <r>
    <x v="4"/>
    <n v="8.7098999999999993"/>
    <n v="9.2121999999999993"/>
    <n v="0.9454744794945833"/>
    <n v="3"/>
  </r>
  <r>
    <x v="0"/>
    <n v="153.30869999999999"/>
    <n v="157.08600000000001"/>
    <n v="0.97595393606050185"/>
    <n v="3"/>
  </r>
  <r>
    <x v="3"/>
    <n v="10"/>
    <n v="10"/>
    <n v="1"/>
    <n v="3"/>
  </r>
  <r>
    <x v="4"/>
    <n v="163.30869999999999"/>
    <n v="167.08600000000001"/>
    <n v="0.97739307901320283"/>
    <n v="3"/>
  </r>
  <r>
    <x v="0"/>
    <n v="119.27800000000001"/>
    <n v="119.6587"/>
    <n v="0.99681845114479761"/>
    <n v="3"/>
  </r>
  <r>
    <x v="2"/>
    <n v="4.8414000000000001"/>
    <n v="5.1002000000000001"/>
    <n v="0.94925689188659268"/>
    <n v="3"/>
  </r>
  <r>
    <x v="3"/>
    <n v="10"/>
    <n v="10"/>
    <n v="1"/>
    <n v="3"/>
  </r>
  <r>
    <x v="4"/>
    <n v="134.11940000000001"/>
    <n v="134.75890000000001"/>
    <n v="0.99525448782974635"/>
    <n v="3"/>
  </r>
  <r>
    <x v="0"/>
    <n v="19.770900000000001"/>
    <n v="19.770900000000001"/>
    <n v="1"/>
    <n v="3"/>
  </r>
  <r>
    <x v="3"/>
    <n v="1.4924999999999999"/>
    <n v="1.4924999999999999"/>
    <n v="1"/>
    <n v="3"/>
  </r>
  <r>
    <x v="4"/>
    <n v="21.263400000000001"/>
    <n v="21.263400000000001"/>
    <n v="1"/>
    <n v="3"/>
  </r>
  <r>
    <x v="0"/>
    <n v="88.706599999999995"/>
    <n v="89.736099999999993"/>
    <n v="0.98852747110694583"/>
    <n v="3"/>
  </r>
  <r>
    <x v="3"/>
    <n v="0.1888"/>
    <n v="0.1888"/>
    <n v="1"/>
    <n v="3"/>
  </r>
  <r>
    <x v="4"/>
    <n v="88.895399999999995"/>
    <n v="89.924899999999994"/>
    <n v="0.98855155802230532"/>
    <n v="3"/>
  </r>
  <r>
    <x v="0"/>
    <n v="153.4736"/>
    <n v="157.8897"/>
    <n v="0.97203047443880131"/>
    <n v="3"/>
  </r>
  <r>
    <x v="3"/>
    <n v="4"/>
    <n v="4"/>
    <n v="1"/>
    <n v="3"/>
  </r>
  <r>
    <x v="4"/>
    <n v="157.4736"/>
    <n v="161.8897"/>
    <n v="0.97272155053718679"/>
    <n v="3"/>
  </r>
  <r>
    <x v="0"/>
    <n v="4.7428999999999997"/>
    <n v="4.7428999999999997"/>
    <n v="1"/>
    <n v="3"/>
  </r>
  <r>
    <x v="4"/>
    <n v="4.7428999999999997"/>
    <n v="4.7428999999999997"/>
    <n v="1"/>
    <n v="3"/>
  </r>
  <r>
    <x v="0"/>
    <n v="1017.8614"/>
    <n v="1033.0154"/>
    <n v="0.9853303251819866"/>
    <n v="3"/>
  </r>
  <r>
    <x v="1"/>
    <n v="63.825499999999998"/>
    <n v="64.912700000000001"/>
    <n v="0.98325135143045972"/>
    <n v="3"/>
  </r>
  <r>
    <x v="2"/>
    <n v="5.7854000000000001"/>
    <n v="6.0442"/>
    <n v="0.9571820919228351"/>
    <n v="3"/>
  </r>
  <r>
    <x v="3"/>
    <n v="62.017899999999997"/>
    <n v="62.227800000000002"/>
    <n v="0.99662690951632549"/>
    <n v="3"/>
  </r>
  <r>
    <x v="4"/>
    <n v="1149.4902"/>
    <n v="1166.2001"/>
    <n v="0.98567149839894541"/>
    <n v="3"/>
  </r>
  <r>
    <x v="0"/>
    <n v="94.043800000000005"/>
    <n v="95.882199999999997"/>
    <n v="0.98082647248394383"/>
    <n v="3"/>
  </r>
  <r>
    <x v="2"/>
    <n v="41.538400000000003"/>
    <n v="42.093800000000002"/>
    <n v="0.98680565784034702"/>
    <n v="3"/>
  </r>
  <r>
    <x v="4"/>
    <n v="135.5822"/>
    <n v="137.976"/>
    <n v="0.98265060590247577"/>
    <n v="3"/>
  </r>
  <r>
    <x v="0"/>
    <n v="37.761299999999999"/>
    <n v="38.823500000000003"/>
    <n v="0.97264028230324417"/>
    <n v="3"/>
  </r>
  <r>
    <x v="3"/>
    <n v="0.10580000000000001"/>
    <n v="0.10580000000000001"/>
    <n v="1"/>
    <n v="3"/>
  </r>
  <r>
    <x v="4"/>
    <n v="37.867100000000001"/>
    <n v="38.929299999999998"/>
    <n v="0.97271463910216727"/>
    <n v="3"/>
  </r>
  <r>
    <x v="0"/>
    <n v="59.975900000000003"/>
    <n v="62.860500000000002"/>
    <n v="0.95411108724874927"/>
    <n v="3"/>
  </r>
  <r>
    <x v="4"/>
    <n v="59.975900000000003"/>
    <n v="62.860500000000002"/>
    <n v="0.95411108724874927"/>
    <n v="3"/>
  </r>
  <r>
    <x v="0"/>
    <n v="191.78100000000001"/>
    <n v="197.56620000000001"/>
    <n v="0.97071766324401643"/>
    <n v="3"/>
  </r>
  <r>
    <x v="2"/>
    <n v="41.538400000000003"/>
    <n v="42.093800000000002"/>
    <n v="0.98680565784034702"/>
    <n v="3"/>
  </r>
  <r>
    <x v="3"/>
    <n v="0.10580000000000001"/>
    <n v="0.10580000000000001"/>
    <n v="1"/>
    <n v="3"/>
  </r>
  <r>
    <x v="4"/>
    <n v="233.42519999999999"/>
    <n v="239.76580000000001"/>
    <n v="0.97355502744761768"/>
    <n v="3"/>
  </r>
  <r>
    <x v="0"/>
    <n v="214.72389999999999"/>
    <n v="219.80090000000001"/>
    <n v="0.97690182342292498"/>
    <n v="3"/>
  </r>
  <r>
    <x v="2"/>
    <n v="231.06460000000001"/>
    <n v="237.44220000000001"/>
    <n v="0.97314041059255685"/>
    <n v="3"/>
  </r>
  <r>
    <x v="3"/>
    <n v="4.4390999999999998"/>
    <n v="4.4843999999999999"/>
    <n v="0.98989831415573992"/>
    <n v="3"/>
  </r>
  <r>
    <x v="4"/>
    <n v="450.2276"/>
    <n v="461.72750000000002"/>
    <n v="0.97509375118441077"/>
    <n v="3"/>
  </r>
  <r>
    <x v="0"/>
    <n v="54.973599999999998"/>
    <n v="56.972700000000003"/>
    <n v="0.9649112645179182"/>
    <n v="3"/>
  </r>
  <r>
    <x v="2"/>
    <n v="77.247399999999999"/>
    <n v="80.347200000000001"/>
    <n v="0.96141993747137422"/>
    <n v="3"/>
  </r>
  <r>
    <x v="3"/>
    <n v="4.1254999999999997"/>
    <n v="4.1254999999999997"/>
    <n v="1"/>
    <n v="3"/>
  </r>
  <r>
    <x v="4"/>
    <n v="136.34649999999999"/>
    <n v="141.44540000000001"/>
    <n v="0.96395146112917074"/>
    <n v="3"/>
  </r>
  <r>
    <x v="0"/>
    <n v="38.264400000000002"/>
    <n v="38.718699999999998"/>
    <n v="0.98826665151464277"/>
    <n v="3"/>
  </r>
  <r>
    <x v="4"/>
    <n v="38.264400000000002"/>
    <n v="38.718699999999998"/>
    <n v="0.98826665151464277"/>
    <n v="3"/>
  </r>
  <r>
    <x v="0"/>
    <n v="115.42749999999999"/>
    <n v="116.699"/>
    <n v="0.98910444819578569"/>
    <n v="3"/>
  </r>
  <r>
    <x v="4"/>
    <n v="115.42749999999999"/>
    <n v="116.699"/>
    <n v="0.98910444819578569"/>
    <n v="3"/>
  </r>
  <r>
    <x v="0"/>
    <n v="15.613799999999999"/>
    <n v="15.614000000000001"/>
    <n v="0.9999871909824517"/>
    <n v="3"/>
  </r>
  <r>
    <x v="4"/>
    <n v="15.613799999999999"/>
    <n v="15.614000000000001"/>
    <n v="0.9999871909824517"/>
    <n v="3"/>
  </r>
  <r>
    <x v="0"/>
    <n v="439.00319999999999"/>
    <n v="447.80529999999999"/>
    <n v="0.98034391285677058"/>
    <n v="3"/>
  </r>
  <r>
    <x v="2"/>
    <n v="308.31200000000001"/>
    <n v="317.7894"/>
    <n v="0.97017710471148499"/>
    <n v="3"/>
  </r>
  <r>
    <x v="3"/>
    <n v="8.5646000000000004"/>
    <n v="8.6098999999999997"/>
    <n v="0.99473861485034665"/>
    <n v="3"/>
  </r>
  <r>
    <x v="4"/>
    <n v="755.87980000000005"/>
    <n v="774.20460000000003"/>
    <n v="0.97633080454443177"/>
    <n v="3"/>
  </r>
  <r>
    <x v="0"/>
    <n v="128.3647"/>
    <n v="135.73609999999999"/>
    <n v="0.94569315016417888"/>
    <n v="3"/>
  </r>
  <r>
    <x v="2"/>
    <n v="90.131299999999996"/>
    <n v="91.151300000000006"/>
    <n v="0.98880981401252643"/>
    <n v="3"/>
  </r>
  <r>
    <x v="3"/>
    <n v="1.212"/>
    <n v="1.202"/>
    <n v="1"/>
    <n v="3"/>
  </r>
  <r>
    <x v="4"/>
    <n v="219.708"/>
    <n v="228.08940000000001"/>
    <n v="0.96325388203046702"/>
    <n v="3"/>
  </r>
  <r>
    <x v="0"/>
    <n v="81.898700000000005"/>
    <n v="81.96"/>
    <n v="0.99925207418252804"/>
    <n v="3"/>
  </r>
  <r>
    <x v="4"/>
    <n v="81.898700000000005"/>
    <n v="81.96"/>
    <n v="0.99925207418252804"/>
    <n v="3"/>
  </r>
  <r>
    <x v="0"/>
    <n v="101.7727"/>
    <n v="104.76439999999999"/>
    <n v="0.97144354379922948"/>
    <n v="3"/>
  </r>
  <r>
    <x v="2"/>
    <n v="0.76400000000000001"/>
    <n v="0.95530000000000004"/>
    <n v="0.79974877001988909"/>
    <n v="0"/>
  </r>
  <r>
    <x v="4"/>
    <n v="102.5367"/>
    <n v="105.7197"/>
    <n v="0.96989208255415027"/>
    <n v="3"/>
  </r>
  <r>
    <x v="0"/>
    <n v="183.67140000000001"/>
    <n v="186.7244"/>
    <n v="0.9836496997714278"/>
    <n v="3"/>
  </r>
  <r>
    <x v="2"/>
    <n v="0.76400000000000001"/>
    <n v="0.95530000000000004"/>
    <n v="0.79974877001988909"/>
    <n v="0"/>
  </r>
  <r>
    <x v="4"/>
    <n v="184.43539999999999"/>
    <n v="187.6797"/>
    <n v="0.98271363391991784"/>
    <n v="3"/>
  </r>
  <r>
    <x v="0"/>
    <n v="4727.4439000000002"/>
    <n v="4822.2206999999999"/>
    <n v="0.98034581868059256"/>
    <n v="3"/>
  </r>
  <r>
    <x v="1"/>
    <n v="149.84970000000001"/>
    <n v="153.53870000000001"/>
    <n v="0.97597348420951846"/>
    <n v="3"/>
  </r>
  <r>
    <x v="2"/>
    <n v="770.50599999999997"/>
    <n v="784.38649999999996"/>
    <n v="0.98230400446718547"/>
    <n v="3"/>
  </r>
  <r>
    <x v="3"/>
    <n v="192.8749"/>
    <n v="193.3099"/>
    <n v="0.99774972725142375"/>
    <n v="3"/>
  </r>
  <r>
    <x v="4"/>
    <n v="5840.6745000000001"/>
    <n v="5953.4557999999997"/>
    <n v="0.98105616237211335"/>
    <n v="3"/>
  </r>
  <r>
    <x v="0"/>
    <n v="242.42250000000001"/>
    <n v="247.62110000000001"/>
    <n v="0.97900582785554224"/>
    <n v="3"/>
  </r>
  <r>
    <x v="1"/>
    <n v="72.374799999999993"/>
    <n v="72.374799999999993"/>
    <n v="1"/>
    <n v="3"/>
  </r>
  <r>
    <x v="2"/>
    <n v="66.288799999999995"/>
    <n v="66.288799999999995"/>
    <n v="1"/>
    <n v="3"/>
  </r>
  <r>
    <x v="3"/>
    <n v="1.5347"/>
    <n v="1.5357000000000001"/>
    <n v="0.99934883115191764"/>
    <n v="3"/>
  </r>
  <r>
    <x v="4"/>
    <n v="382.62079999999997"/>
    <n v="387.82040000000001"/>
    <n v="0.98659276304186161"/>
    <n v="3"/>
  </r>
  <r>
    <x v="0"/>
    <n v="781.30179999999996"/>
    <n v="812.17639999999994"/>
    <n v="0.96198535195063539"/>
    <n v="3"/>
  </r>
  <r>
    <x v="1"/>
    <n v="23.668399999999998"/>
    <n v="23.918399999999998"/>
    <n v="0.98954779583918662"/>
    <n v="3"/>
  </r>
  <r>
    <x v="2"/>
    <n v="127.96380000000001"/>
    <n v="134.58940000000001"/>
    <n v="0.95077175468499009"/>
    <n v="3"/>
  </r>
  <r>
    <x v="3"/>
    <n v="0.75700000000000001"/>
    <n v="0.75700000000000001"/>
    <n v="1"/>
    <n v="3"/>
  </r>
  <r>
    <x v="4"/>
    <n v="933.69100000000003"/>
    <n v="971.44119999999998"/>
    <n v="0.9611400051799327"/>
    <n v="3"/>
  </r>
  <r>
    <x v="0"/>
    <n v="213.96850000000001"/>
    <n v="221.33580000000001"/>
    <n v="0.96671437697832885"/>
    <n v="3"/>
  </r>
  <r>
    <x v="2"/>
    <n v="60.691499999999998"/>
    <n v="61.691499999999998"/>
    <n v="0.98379031146916507"/>
    <n v="3"/>
  </r>
  <r>
    <x v="3"/>
    <n v="1.8849"/>
    <n v="1.8849"/>
    <n v="1"/>
    <n v="3"/>
  </r>
  <r>
    <x v="4"/>
    <n v="276.54489999999998"/>
    <n v="284.91219999999998"/>
    <n v="0.97063200522827731"/>
    <n v="3"/>
  </r>
  <r>
    <x v="0"/>
    <n v="53.045400000000001"/>
    <n v="66.610900000000001"/>
    <n v="0.79634714438627907"/>
    <n v="0"/>
  </r>
  <r>
    <x v="1"/>
    <n v="55.969299999999997"/>
    <n v="58.529899999999998"/>
    <n v="0.95625142021428367"/>
    <n v="3"/>
  </r>
  <r>
    <x v="2"/>
    <n v="236.30719999999999"/>
    <n v="236.6738"/>
    <n v="0.99845103260267931"/>
    <n v="3"/>
  </r>
  <r>
    <x v="3"/>
    <n v="0.81810000000000005"/>
    <n v="0.81859999999999999"/>
    <n v="0.99938920107500606"/>
    <n v="3"/>
  </r>
  <r>
    <x v="4"/>
    <n v="346.14"/>
    <n v="362.63319999999999"/>
    <n v="0.95451822943955489"/>
    <n v="3"/>
  </r>
  <r>
    <x v="0"/>
    <n v="170.19569999999999"/>
    <n v="176.57939999999999"/>
    <n v="0.96384799132854682"/>
    <n v="3"/>
  </r>
  <r>
    <x v="2"/>
    <n v="23.6"/>
    <n v="24.9"/>
    <n v="0.94779116465863456"/>
    <n v="3"/>
  </r>
  <r>
    <x v="4"/>
    <n v="193.79570000000001"/>
    <n v="201.4794"/>
    <n v="0.96186359498787466"/>
    <n v="3"/>
  </r>
  <r>
    <x v="0"/>
    <n v="202.15539999999999"/>
    <n v="210.4665"/>
    <n v="0.96051105520355973"/>
    <n v="3"/>
  </r>
  <r>
    <x v="2"/>
    <n v="37.1"/>
    <n v="38.6"/>
    <n v="0.96113989637305697"/>
    <n v="3"/>
  </r>
  <r>
    <x v="4"/>
    <n v="239.25540000000001"/>
    <n v="249.06649999999999"/>
    <n v="0.96060851218449694"/>
    <n v="3"/>
  </r>
  <r>
    <x v="0"/>
    <n v="64.211100000000002"/>
    <n v="68.448099999999997"/>
    <n v="0.93809908529236019"/>
    <n v="3"/>
  </r>
  <r>
    <x v="2"/>
    <n v="2.4"/>
    <n v="2.4"/>
    <n v="1"/>
    <n v="3"/>
  </r>
  <r>
    <x v="4"/>
    <n v="66.611099999999993"/>
    <n v="70.848100000000002"/>
    <n v="0.94019599678749322"/>
    <n v="3"/>
  </r>
  <r>
    <x v="0"/>
    <n v="74.430800000000005"/>
    <n v="75.978899999999996"/>
    <n v="0.97962460630517156"/>
    <n v="3"/>
  </r>
  <r>
    <x v="2"/>
    <n v="13.9"/>
    <n v="13.9"/>
    <n v="1"/>
    <n v="3"/>
  </r>
  <r>
    <x v="4"/>
    <n v="88.330799999999996"/>
    <n v="89.878900000000002"/>
    <n v="0.98277571265335917"/>
    <n v="3"/>
  </r>
  <r>
    <x v="0"/>
    <n v="33.762799999999999"/>
    <n v="34.540900000000001"/>
    <n v="0.97747308263536847"/>
    <n v="3"/>
  </r>
  <r>
    <x v="2"/>
    <n v="20.3"/>
    <n v="20.6"/>
    <n v="0.9854368932038835"/>
    <n v="3"/>
  </r>
  <r>
    <x v="3"/>
    <n v="0.77639999999999998"/>
    <n v="0.77639999999999998"/>
    <n v="1"/>
    <n v="3"/>
  </r>
  <r>
    <x v="4"/>
    <n v="54.839199999999998"/>
    <n v="55.917299999999997"/>
    <n v="0.98071974147535734"/>
    <n v="3"/>
  </r>
  <r>
    <x v="0"/>
    <n v="22.8629"/>
    <n v="27.554500000000001"/>
    <n v="0.82973380028670451"/>
    <n v="1.5"/>
  </r>
  <r>
    <x v="2"/>
    <n v="36.799999999999997"/>
    <n v="37.6"/>
    <n v="0.97872340425531912"/>
    <n v="3"/>
  </r>
  <r>
    <x v="3"/>
    <n v="1.0525"/>
    <n v="1.0525"/>
    <n v="1"/>
    <n v="3"/>
  </r>
  <r>
    <x v="4"/>
    <n v="60.715400000000002"/>
    <n v="66.206999999999994"/>
    <n v="0.91705408793632093"/>
    <n v="3"/>
  </r>
  <r>
    <x v="0"/>
    <n v="93.130399999999995"/>
    <n v="93.523600000000002"/>
    <n v="0.99579571359528507"/>
    <n v="3"/>
  </r>
  <r>
    <x v="4"/>
    <n v="93.130399999999995"/>
    <n v="93.523600000000002"/>
    <n v="0.99579571359528507"/>
    <n v="3"/>
  </r>
  <r>
    <x v="0"/>
    <n v="40.488599999999998"/>
    <n v="41.100099999999998"/>
    <n v="0.98512169070148248"/>
    <n v="3"/>
  </r>
  <r>
    <x v="4"/>
    <n v="40.488599999999998"/>
    <n v="41.100099999999998"/>
    <n v="0.98512169070148248"/>
    <n v="3"/>
  </r>
  <r>
    <x v="0"/>
    <n v="754.28309999999999"/>
    <n v="794.80290000000002"/>
    <n v="0.94901905868738023"/>
    <n v="3"/>
  </r>
  <r>
    <x v="1"/>
    <n v="55.969299999999997"/>
    <n v="58.529899999999998"/>
    <n v="0.95625142021428367"/>
    <n v="3"/>
  </r>
  <r>
    <x v="2"/>
    <n v="370.40719999999999"/>
    <n v="374.67380000000003"/>
    <n v="0.988612494388452"/>
    <n v="3"/>
  </r>
  <r>
    <x v="3"/>
    <n v="2.6469999999999998"/>
    <n v="2.6475"/>
    <n v="0.9998111425873466"/>
    <n v="3"/>
  </r>
  <r>
    <x v="4"/>
    <n v="1183.3065999999999"/>
    <n v="1230.6541"/>
    <n v="0.96152655729989445"/>
    <n v="3"/>
  </r>
  <r>
    <x v="0"/>
    <n v="56.306600000000003"/>
    <n v="58.171999999999997"/>
    <n v="0.9679330261981709"/>
    <n v="3"/>
  </r>
  <r>
    <x v="1"/>
    <n v="305.66419999999999"/>
    <n v="322.20299999999997"/>
    <n v="0.94866962753295281"/>
    <n v="3"/>
  </r>
  <r>
    <x v="2"/>
    <n v="66.2"/>
    <n v="72.2"/>
    <n v="0.91689750692520777"/>
    <n v="3"/>
  </r>
  <r>
    <x v="4"/>
    <n v="428.17079999999999"/>
    <n v="452.57499999999999"/>
    <n v="0.94607700381152293"/>
    <n v="3"/>
  </r>
  <r>
    <x v="0"/>
    <n v="115.68"/>
    <n v="120.0874"/>
    <n v="0.96329839766703251"/>
    <n v="3"/>
  </r>
  <r>
    <x v="4"/>
    <n v="115.68"/>
    <n v="120.0874"/>
    <n v="0.96329839766703251"/>
    <n v="3"/>
  </r>
  <r>
    <x v="0"/>
    <n v="66.611500000000007"/>
    <n v="67.441900000000004"/>
    <n v="0.98768717963165331"/>
    <n v="3"/>
  </r>
  <r>
    <x v="2"/>
    <n v="14.5"/>
    <n v="14.5"/>
    <n v="1"/>
    <n v="3"/>
  </r>
  <r>
    <x v="4"/>
    <n v="81.111500000000007"/>
    <n v="81.941900000000004"/>
    <n v="0.98986599041515999"/>
    <n v="3"/>
  </r>
  <r>
    <x v="0"/>
    <n v="296.43470000000002"/>
    <n v="302.2792"/>
    <n v="0.98066522605591122"/>
    <n v="3"/>
  </r>
  <r>
    <x v="2"/>
    <n v="59.3"/>
    <n v="60.1"/>
    <n v="0.98668885191347755"/>
    <n v="3"/>
  </r>
  <r>
    <x v="3"/>
    <n v="0.1888"/>
    <n v="0.1888"/>
    <n v="1"/>
    <n v="3"/>
  </r>
  <r>
    <x v="4"/>
    <n v="355.92349999999999"/>
    <n v="362.56799999999998"/>
    <n v="0.98167378257320004"/>
    <n v="3"/>
  </r>
  <r>
    <x v="0"/>
    <n v="51.818800000000003"/>
    <n v="52.4193"/>
    <n v="0.98854429570787861"/>
    <n v="3"/>
  </r>
  <r>
    <x v="2"/>
    <n v="10.9"/>
    <n v="11.2"/>
    <n v="0.9732142857142857"/>
    <n v="3"/>
  </r>
  <r>
    <x v="4"/>
    <n v="62.718800000000002"/>
    <n v="63.619300000000003"/>
    <n v="0.98584549028360891"/>
    <n v="3"/>
  </r>
  <r>
    <x v="0"/>
    <n v="65.708100000000002"/>
    <n v="66.561300000000003"/>
    <n v="0.98718174074124154"/>
    <n v="3"/>
  </r>
  <r>
    <x v="2"/>
    <n v="0.4"/>
    <n v="0.4"/>
    <n v="1"/>
    <n v="3"/>
  </r>
  <r>
    <x v="4"/>
    <n v="66.108099999999993"/>
    <n v="66.961299999999994"/>
    <n v="0.98725831189059954"/>
    <n v="3"/>
  </r>
  <r>
    <x v="0"/>
    <n v="284.90089999999998"/>
    <n v="294.0138"/>
    <n v="0.96900519635472893"/>
    <n v="3"/>
  </r>
  <r>
    <x v="2"/>
    <n v="3.1"/>
    <n v="3.1"/>
    <n v="1"/>
    <n v="3"/>
  </r>
  <r>
    <x v="3"/>
    <n v="0.1888"/>
    <n v="0.1888"/>
    <n v="1"/>
    <n v="3"/>
  </r>
  <r>
    <x v="4"/>
    <n v="288.18970000000002"/>
    <n v="297.30259999999998"/>
    <n v="0.96934806490087877"/>
    <n v="3"/>
  </r>
  <r>
    <x v="0"/>
    <n v="140.108"/>
    <n v="142.76910000000001"/>
    <n v="0.98136081266884778"/>
    <n v="3"/>
  </r>
  <r>
    <x v="2"/>
    <n v="28.9"/>
    <n v="28.9"/>
    <n v="1"/>
    <n v="3"/>
  </r>
  <r>
    <x v="3"/>
    <n v="0.21279999999999999"/>
    <n v="0.21129999999999999"/>
    <n v="1"/>
    <n v="3"/>
  </r>
  <r>
    <x v="4"/>
    <n v="169.2208"/>
    <n v="171.88040000000001"/>
    <n v="0.98452644978717763"/>
    <n v="3"/>
  </r>
  <r>
    <x v="0"/>
    <n v="11.5014"/>
    <n v="12.1934"/>
    <n v="0.94324798661571019"/>
    <n v="3"/>
  </r>
  <r>
    <x v="4"/>
    <n v="11.5014"/>
    <n v="12.1934"/>
    <n v="0.94324798661571019"/>
    <n v="3"/>
  </r>
  <r>
    <x v="0"/>
    <n v="1089.07"/>
    <n v="1115.9374"/>
    <n v="0.97592391831298064"/>
    <n v="3"/>
  </r>
  <r>
    <x v="1"/>
    <n v="305.66419999999999"/>
    <n v="322.20299999999997"/>
    <n v="0.94866962753295281"/>
    <n v="3"/>
  </r>
  <r>
    <x v="2"/>
    <n v="183.3"/>
    <n v="190.4"/>
    <n v="0.96271008403361347"/>
    <n v="3"/>
  </r>
  <r>
    <x v="3"/>
    <n v="0.59040000000000004"/>
    <n v="0.58889999999999998"/>
    <n v="1"/>
    <n v="3"/>
  </r>
  <r>
    <x v="4"/>
    <n v="1578.6246000000001"/>
    <n v="1629.1293000000001"/>
    <n v="0.96899896159255128"/>
    <n v="3"/>
  </r>
  <r>
    <x v="0"/>
    <n v="229.33680000000001"/>
    <n v="235.17689999999999"/>
    <n v="0.97516720392181377"/>
    <n v="3"/>
  </r>
  <r>
    <x v="1"/>
    <n v="403.21120000000002"/>
    <n v="434.89769999999999"/>
    <n v="0.927140336681477"/>
    <n v="3"/>
  </r>
  <r>
    <x v="2"/>
    <n v="137.50120000000001"/>
    <n v="140.88999999999999"/>
    <n v="0.97594719284548226"/>
    <n v="3"/>
  </r>
  <r>
    <x v="3"/>
    <n v="0.1888"/>
    <n v="1.2847"/>
    <n v="0.14696037985521912"/>
    <n v="0"/>
  </r>
  <r>
    <x v="4"/>
    <n v="770.23800000000006"/>
    <n v="812.24929999999995"/>
    <n v="0.94827782553952344"/>
    <n v="3"/>
  </r>
  <r>
    <x v="0"/>
    <n v="15.558299999999999"/>
    <n v="15.922000000000001"/>
    <n v="0.97715739228740106"/>
    <n v="3"/>
  </r>
  <r>
    <x v="2"/>
    <n v="4.7888000000000002"/>
    <n v="5.0888"/>
    <n v="0.94104700518786355"/>
    <n v="3"/>
  </r>
  <r>
    <x v="4"/>
    <n v="20.347100000000001"/>
    <n v="21.0108"/>
    <n v="0.96841148361794882"/>
    <n v="3"/>
  </r>
  <r>
    <x v="0"/>
    <n v="135.48330000000001"/>
    <n v="141.94149999999999"/>
    <n v="0.95450097399280687"/>
    <n v="3"/>
  </r>
  <r>
    <x v="4"/>
    <n v="135.48330000000001"/>
    <n v="141.94149999999999"/>
    <n v="0.95450097399280687"/>
    <n v="3"/>
  </r>
  <r>
    <x v="0"/>
    <n v="91.354299999999995"/>
    <n v="93.769900000000007"/>
    <n v="0.97423906818712613"/>
    <n v="3"/>
  </r>
  <r>
    <x v="2"/>
    <n v="140.3888"/>
    <n v="140.3888"/>
    <n v="1"/>
    <n v="3"/>
  </r>
  <r>
    <x v="3"/>
    <n v="0.46579999999999999"/>
    <n v="0.46579999999999999"/>
    <n v="1"/>
    <n v="3"/>
  </r>
  <r>
    <x v="4"/>
    <n v="232.2089"/>
    <n v="234.62450000000001"/>
    <n v="0.98970440000937665"/>
    <n v="3"/>
  </r>
  <r>
    <x v="0"/>
    <n v="43.178600000000003"/>
    <n v="46.603900000000003"/>
    <n v="0.92650185928645457"/>
    <n v="3"/>
  </r>
  <r>
    <x v="2"/>
    <n v="16.088799999999999"/>
    <n v="16.088799999999999"/>
    <n v="1"/>
    <n v="3"/>
  </r>
  <r>
    <x v="4"/>
    <n v="59.267400000000002"/>
    <n v="62.692700000000002"/>
    <n v="0.94536365477958362"/>
    <n v="3"/>
  </r>
  <r>
    <x v="0"/>
    <n v="42.49"/>
    <n v="44.4069"/>
    <n v="0.95683328491743402"/>
    <n v="3"/>
  </r>
  <r>
    <x v="4"/>
    <n v="42.49"/>
    <n v="44.4069"/>
    <n v="0.95683328491743402"/>
    <n v="3"/>
  </r>
  <r>
    <x v="0"/>
    <n v="85.741"/>
    <n v="86.439300000000003"/>
    <n v="0.9919214986701651"/>
    <n v="3"/>
  </r>
  <r>
    <x v="4"/>
    <n v="85.741"/>
    <n v="86.439300000000003"/>
    <n v="0.9919214986701651"/>
    <n v="3"/>
  </r>
  <r>
    <x v="0"/>
    <n v="14.3741"/>
    <n v="17.328399999999998"/>
    <n v="0.82951109161838366"/>
    <n v="1.5"/>
  </r>
  <r>
    <x v="4"/>
    <n v="14.3741"/>
    <n v="17.328399999999998"/>
    <n v="0.82951109161838366"/>
    <n v="1.5"/>
  </r>
  <r>
    <x v="0"/>
    <n v="657.51639999999998"/>
    <n v="681.58879999999999"/>
    <n v="0.96468193139323888"/>
    <n v="3"/>
  </r>
  <r>
    <x v="1"/>
    <n v="403.21120000000002"/>
    <n v="434.89769999999999"/>
    <n v="0.927140336681477"/>
    <n v="3"/>
  </r>
  <r>
    <x v="2"/>
    <n v="298.76760000000002"/>
    <n v="302.45639999999997"/>
    <n v="0.98780386197812309"/>
    <n v="3"/>
  </r>
  <r>
    <x v="3"/>
    <n v="0.65459999999999996"/>
    <n v="1.7504999999999999"/>
    <n v="0.37395029991431022"/>
    <n v="0"/>
  </r>
  <r>
    <x v="4"/>
    <n v="1360.1497999999999"/>
    <n v="1420.6934000000001"/>
    <n v="0.957384471554524"/>
    <n v="3"/>
  </r>
  <r>
    <x v="0"/>
    <n v="53.6999"/>
    <n v="56.060299999999998"/>
    <n v="0.9578953376988707"/>
    <n v="3"/>
  </r>
  <r>
    <x v="1"/>
    <n v="69.299400000000006"/>
    <n v="71.146199999999993"/>
    <n v="0.97404218356004957"/>
    <n v="3"/>
  </r>
  <r>
    <x v="2"/>
    <n v="77.22"/>
    <n v="77.408799999999999"/>
    <n v="0.99756100081644461"/>
    <n v="3"/>
  </r>
  <r>
    <x v="4"/>
    <n v="200.2193"/>
    <n v="204.61529999999999"/>
    <n v="0.97851578058923261"/>
    <n v="3"/>
  </r>
  <r>
    <x v="0"/>
    <n v="80.082999999999998"/>
    <n v="84.894499999999994"/>
    <n v="0.94332377244697829"/>
    <n v="3"/>
  </r>
  <r>
    <x v="2"/>
    <n v="4"/>
    <n v="5"/>
    <n v="0.8"/>
    <n v="0"/>
  </r>
  <r>
    <x v="3"/>
    <n v="0.1888"/>
    <n v="0.1888"/>
    <n v="1"/>
    <n v="3"/>
  </r>
  <r>
    <x v="4"/>
    <n v="84.271799999999999"/>
    <n v="90.083299999999994"/>
    <n v="0.93548748769194734"/>
    <n v="3"/>
  </r>
  <r>
    <x v="0"/>
    <n v="21.762699999999999"/>
    <n v="22.7456"/>
    <n v="0.95678724676420934"/>
    <n v="3"/>
  </r>
  <r>
    <x v="4"/>
    <n v="21.762699999999999"/>
    <n v="22.7456"/>
    <n v="0.95678724676420934"/>
    <n v="3"/>
  </r>
  <r>
    <x v="0"/>
    <n v="155.54560000000001"/>
    <n v="163.7004"/>
    <n v="0.95018460553547823"/>
    <n v="3"/>
  </r>
  <r>
    <x v="1"/>
    <n v="69.299400000000006"/>
    <n v="71.146199999999993"/>
    <n v="0.97404218356004957"/>
    <n v="3"/>
  </r>
  <r>
    <x v="2"/>
    <n v="81.22"/>
    <n v="82.408799999999999"/>
    <n v="0.98557435613672328"/>
    <n v="3"/>
  </r>
  <r>
    <x v="3"/>
    <n v="0.1888"/>
    <n v="0.1888"/>
    <n v="1"/>
    <n v="3"/>
  </r>
  <r>
    <x v="4"/>
    <n v="306.25380000000001"/>
    <n v="317.44420000000002"/>
    <n v="0.96474845027882061"/>
    <n v="3"/>
  </r>
  <r>
    <x v="0"/>
    <n v="198.88040000000001"/>
    <n v="207.19200000000001"/>
    <n v="0.95988455152708596"/>
    <n v="3"/>
  </r>
  <r>
    <x v="1"/>
    <n v="14.139799999999999"/>
    <n v="14.8047"/>
    <n v="0.95508858673259167"/>
    <n v="3"/>
  </r>
  <r>
    <x v="2"/>
    <n v="129.5642"/>
    <n v="138.26339999999999"/>
    <n v="0.93708240937225618"/>
    <n v="3"/>
  </r>
  <r>
    <x v="3"/>
    <n v="0.69259999999999999"/>
    <n v="0.73260000000000003"/>
    <n v="0.94539994539994543"/>
    <n v="3"/>
  </r>
  <r>
    <x v="4"/>
    <n v="343.27699999999999"/>
    <n v="360.99270000000001"/>
    <n v="0.95092504640675557"/>
    <n v="3"/>
  </r>
  <r>
    <x v="0"/>
    <n v="37.390500000000003"/>
    <n v="38.381700000000002"/>
    <n v="0.97417519286534993"/>
    <n v="3"/>
  </r>
  <r>
    <x v="2"/>
    <n v="40.034599999999998"/>
    <n v="41.156399999999998"/>
    <n v="0.97274299987365265"/>
    <n v="3"/>
  </r>
  <r>
    <x v="3"/>
    <n v="0.97189999999999999"/>
    <n v="0.97189999999999999"/>
    <n v="1"/>
    <n v="3"/>
  </r>
  <r>
    <x v="4"/>
    <n v="78.397000000000006"/>
    <n v="80.510000000000005"/>
    <n v="0.97375481306669975"/>
    <n v="3"/>
  </r>
  <r>
    <x v="0"/>
    <n v="14.398999999999999"/>
    <n v="14.399900000000001"/>
    <n v="0.99993749956596922"/>
    <n v="3"/>
  </r>
  <r>
    <x v="4"/>
    <n v="14.398999999999999"/>
    <n v="14.399900000000001"/>
    <n v="0.99993749956596922"/>
    <n v="3"/>
  </r>
  <r>
    <x v="0"/>
    <n v="46.285899999999998"/>
    <n v="50.611600000000003"/>
    <n v="0.91453145128784707"/>
    <n v="3"/>
  </r>
  <r>
    <x v="4"/>
    <n v="46.285899999999998"/>
    <n v="50.611600000000003"/>
    <n v="0.91453145128784707"/>
    <n v="3"/>
  </r>
  <r>
    <x v="0"/>
    <n v="10.2834"/>
    <n v="10.5413"/>
    <n v="0.9755343268856782"/>
    <n v="3"/>
  </r>
  <r>
    <x v="4"/>
    <n v="10.2834"/>
    <n v="10.5413"/>
    <n v="0.9755343268856782"/>
    <n v="3"/>
  </r>
  <r>
    <x v="0"/>
    <n v="307.23919999999998"/>
    <n v="321.12650000000002"/>
    <n v="0.95675442543670486"/>
    <n v="3"/>
  </r>
  <r>
    <x v="1"/>
    <n v="14.139799999999999"/>
    <n v="14.8047"/>
    <n v="0.95508858673259167"/>
    <n v="3"/>
  </r>
  <r>
    <x v="2"/>
    <n v="169.59880000000001"/>
    <n v="179.41980000000001"/>
    <n v="0.94526245152430222"/>
    <n v="3"/>
  </r>
  <r>
    <x v="3"/>
    <n v="1.6645000000000001"/>
    <n v="1.7044999999999999"/>
    <n v="0.97653270753886767"/>
    <n v="3"/>
  </r>
  <r>
    <x v="4"/>
    <n v="492.64229999999998"/>
    <n v="517.05550000000005"/>
    <n v="0.9527841788744148"/>
    <n v="3"/>
  </r>
  <r>
    <x v="0"/>
    <n v="122.69029999999999"/>
    <n v="130.33920000000001"/>
    <n v="0.94131542927990963"/>
    <n v="3"/>
  </r>
  <r>
    <x v="2"/>
    <n v="123.9178"/>
    <n v="125.81780000000001"/>
    <n v="0.98489879810328906"/>
    <n v="3"/>
  </r>
  <r>
    <x v="4"/>
    <n v="246.60810000000001"/>
    <n v="256.15699999999998"/>
    <n v="0.96272247098459152"/>
    <n v="3"/>
  </r>
  <r>
    <x v="0"/>
    <n v="29.782599999999999"/>
    <n v="30.210899999999999"/>
    <n v="0.98582299765978509"/>
    <n v="3"/>
  </r>
  <r>
    <x v="1"/>
    <n v="44.369900000000001"/>
    <n v="45.635800000000003"/>
    <n v="0.97226081278294674"/>
    <n v="3"/>
  </r>
  <r>
    <x v="2"/>
    <n v="10.877599999999999"/>
    <n v="12.877599999999999"/>
    <n v="0.84469155743306201"/>
    <n v="1.5"/>
  </r>
  <r>
    <x v="4"/>
    <n v="85.030100000000004"/>
    <n v="88.724299999999999"/>
    <n v="0.9583631541753499"/>
    <n v="3"/>
  </r>
  <r>
    <x v="0"/>
    <n v="13.0779"/>
    <n v="14.9581"/>
    <n v="0.87430221752762716"/>
    <n v="1.5"/>
  </r>
  <r>
    <x v="2"/>
    <n v="22.151199999999999"/>
    <n v="22.717600000000001"/>
    <n v="0.97506778885093492"/>
    <n v="3"/>
  </r>
  <r>
    <x v="4"/>
    <n v="35.229100000000003"/>
    <n v="37.675699999999999"/>
    <n v="0.93506159142364975"/>
    <n v="3"/>
  </r>
  <r>
    <x v="0"/>
    <n v="42.860500000000002"/>
    <n v="45.168999999999997"/>
    <n v="0.94889193916181447"/>
    <n v="3"/>
  </r>
  <r>
    <x v="1"/>
    <n v="44.369900000000001"/>
    <n v="45.635800000000003"/>
    <n v="0.97226081278294674"/>
    <n v="3"/>
  </r>
  <r>
    <x v="2"/>
    <n v="33.028799999999997"/>
    <n v="35.595199999999998"/>
    <n v="0.92790039106396371"/>
    <n v="3"/>
  </r>
  <r>
    <x v="4"/>
    <n v="120.25920000000001"/>
    <n v="126.4"/>
    <n v="0.95141772151898729"/>
    <n v="3"/>
  </r>
  <r>
    <x v="0"/>
    <n v="4366.8978999999999"/>
    <n v="4533.7974999999997"/>
    <n v="0.96318768096722451"/>
    <n v="3"/>
  </r>
  <r>
    <x v="1"/>
    <n v="988.697"/>
    <n v="1043.5105000000001"/>
    <n v="0.94747201872908804"/>
    <n v="3"/>
  </r>
  <r>
    <x v="2"/>
    <n v="1515.1842999999999"/>
    <n v="1553.3415"/>
    <n v="0.97543540811856244"/>
    <n v="3"/>
  </r>
  <r>
    <x v="3"/>
    <n v="9.9219000000000008"/>
    <n v="11.0578"/>
    <n v="0.89727613087594282"/>
    <n v="1.5"/>
  </r>
  <r>
    <x v="4"/>
    <n v="6880.7011000000002"/>
    <n v="7141.7073"/>
    <n v="0.96345324877708161"/>
    <n v="3"/>
  </r>
  <r>
    <x v="0"/>
    <n v="68.054100000000005"/>
    <n v="73.721299999999999"/>
    <n v="0.92312669472730402"/>
    <n v="3"/>
  </r>
  <r>
    <x v="1"/>
    <n v="50.930700000000002"/>
    <n v="51.397399999999998"/>
    <n v="0.99091977415199994"/>
    <n v="3"/>
  </r>
  <r>
    <x v="2"/>
    <n v="0.42659999999999998"/>
    <n v="0.42659999999999998"/>
    <n v="1"/>
    <n v="3"/>
  </r>
  <r>
    <x v="3"/>
    <n v="3.7932999999999999"/>
    <n v="3.7923"/>
    <n v="1"/>
    <n v="3"/>
  </r>
  <r>
    <x v="4"/>
    <n v="123.2047"/>
    <n v="129.33760000000001"/>
    <n v="0.95258223440051459"/>
    <n v="3"/>
  </r>
  <r>
    <x v="0"/>
    <n v="593.81140000000005"/>
    <n v="646.06399999999996"/>
    <n v="0.91912163500829636"/>
    <n v="3"/>
  </r>
  <r>
    <x v="2"/>
    <n v="64.677099999999996"/>
    <n v="67.588800000000006"/>
    <n v="0.95692037734062452"/>
    <n v="3"/>
  </r>
  <r>
    <x v="3"/>
    <n v="4.4409000000000001"/>
    <n v="4.4409000000000001"/>
    <n v="1"/>
    <n v="3"/>
  </r>
  <r>
    <x v="4"/>
    <n v="662.92939999999999"/>
    <n v="718.09370000000001"/>
    <n v="0.92317952378638057"/>
    <n v="3"/>
  </r>
  <r>
    <x v="0"/>
    <n v="183.65719999999999"/>
    <n v="203.85890000000001"/>
    <n v="0.90090351708951633"/>
    <n v="3"/>
  </r>
  <r>
    <x v="3"/>
    <n v="1.5347"/>
    <n v="1.7797000000000001"/>
    <n v="0.86233634882283527"/>
    <n v="1.5"/>
  </r>
  <r>
    <x v="4"/>
    <n v="185.1919"/>
    <n v="205.6386"/>
    <n v="0.90056973739366053"/>
    <n v="3"/>
  </r>
  <r>
    <x v="0"/>
    <n v="40.663800000000002"/>
    <n v="50.533000000000001"/>
    <n v="0.80469792017097741"/>
    <n v="1.5"/>
  </r>
  <r>
    <x v="1"/>
    <n v="384.91629999999998"/>
    <n v="398.53620000000001"/>
    <n v="0.96582518727282485"/>
    <n v="3"/>
  </r>
  <r>
    <x v="2"/>
    <n v="327.76729999999998"/>
    <n v="349.53210000000001"/>
    <n v="0.93773161320519627"/>
    <n v="3"/>
  </r>
  <r>
    <x v="3"/>
    <n v="1.5951"/>
    <n v="1.5961000000000001"/>
    <n v="0.99937347284004763"/>
    <n v="3"/>
  </r>
  <r>
    <x v="4"/>
    <n v="754.9425"/>
    <n v="800.19740000000002"/>
    <n v="0.94344532986485585"/>
    <n v="3"/>
  </r>
  <r>
    <x v="0"/>
    <n v="107.08459999999999"/>
    <n v="114.3541"/>
    <n v="0.93642991375035967"/>
    <n v="3"/>
  </r>
  <r>
    <x v="3"/>
    <n v="1.2024999999999999"/>
    <n v="1.2024999999999999"/>
    <n v="1"/>
    <n v="3"/>
  </r>
  <r>
    <x v="4"/>
    <n v="108.2871"/>
    <n v="115.5566"/>
    <n v="0.93709143398126982"/>
    <n v="3"/>
  </r>
  <r>
    <x v="0"/>
    <n v="151.90539999999999"/>
    <n v="156.70529999999999"/>
    <n v="0.96936989367940973"/>
    <n v="3"/>
  </r>
  <r>
    <x v="3"/>
    <n v="1.62"/>
    <n v="1.6225000000000001"/>
    <n v="0.99845916795069334"/>
    <n v="3"/>
  </r>
  <r>
    <x v="4"/>
    <n v="153.52539999999999"/>
    <n v="158.3278"/>
    <n v="0.96966799260774161"/>
    <n v="3"/>
  </r>
  <r>
    <x v="0"/>
    <n v="147.12649999999999"/>
    <n v="157.7774"/>
    <n v="0.93249413414088456"/>
    <n v="3"/>
  </r>
  <r>
    <x v="4"/>
    <n v="147.12649999999999"/>
    <n v="157.7774"/>
    <n v="0.93249413414088456"/>
    <n v="3"/>
  </r>
  <r>
    <x v="0"/>
    <n v="17.838000000000001"/>
    <n v="20.188800000000001"/>
    <n v="0.88355920114122677"/>
    <n v="1.5"/>
  </r>
  <r>
    <x v="4"/>
    <n v="17.838000000000001"/>
    <n v="20.188800000000001"/>
    <n v="0.88355920114122677"/>
    <n v="1.5"/>
  </r>
  <r>
    <x v="0"/>
    <n v="46.8414"/>
    <n v="52.064700000000002"/>
    <n v="0.89967674835349098"/>
    <n v="1.5"/>
  </r>
  <r>
    <x v="3"/>
    <n v="1.8089999999999999"/>
    <n v="1.8105"/>
    <n v="0.9991714995857498"/>
    <n v="3"/>
  </r>
  <r>
    <x v="4"/>
    <n v="48.650399999999998"/>
    <n v="53.8752"/>
    <n v="0.90302031361368496"/>
    <n v="3"/>
  </r>
  <r>
    <x v="0"/>
    <n v="22.0459"/>
    <n v="28.216899999999999"/>
    <n v="0.78130127689434348"/>
    <n v="0"/>
  </r>
  <r>
    <x v="4"/>
    <n v="22.0459"/>
    <n v="28.216899999999999"/>
    <n v="0.78130127689434348"/>
    <n v="0"/>
  </r>
  <r>
    <x v="0"/>
    <n v="60.841099999999997"/>
    <n v="65.174700000000001"/>
    <n v="0.93350794096482226"/>
    <n v="3"/>
  </r>
  <r>
    <x v="3"/>
    <n v="0.71120000000000005"/>
    <n v="0.70860000000000001"/>
    <n v="1"/>
    <n v="3"/>
  </r>
  <r>
    <x v="4"/>
    <n v="61.552300000000002"/>
    <n v="65.883300000000006"/>
    <n v="0.93426255211867049"/>
    <n v="3"/>
  </r>
  <r>
    <x v="0"/>
    <n v="22.2758"/>
    <n v="29.3935"/>
    <n v="0.75784782349839253"/>
    <n v="0"/>
  </r>
  <r>
    <x v="3"/>
    <n v="0.91349999999999998"/>
    <n v="0.91249999999999998"/>
    <n v="1"/>
    <n v="3"/>
  </r>
  <r>
    <x v="4"/>
    <n v="23.189299999999999"/>
    <n v="30.306000000000001"/>
    <n v="0.7651719131525111"/>
    <n v="0"/>
  </r>
  <r>
    <x v="0"/>
    <n v="60.775399999999998"/>
    <n v="74.371799999999993"/>
    <n v="0.81718339478135527"/>
    <n v="1.5"/>
  </r>
  <r>
    <x v="4"/>
    <n v="60.775399999999998"/>
    <n v="74.371799999999993"/>
    <n v="0.81718339478135527"/>
    <n v="1.5"/>
  </r>
  <r>
    <x v="0"/>
    <n v="677.39790000000005"/>
    <n v="748.78020000000004"/>
    <n v="0.90466855293449266"/>
    <n v="3"/>
  </r>
  <r>
    <x v="1"/>
    <n v="384.91629999999998"/>
    <n v="398.53620000000001"/>
    <n v="0.96582518727282485"/>
    <n v="3"/>
  </r>
  <r>
    <x v="2"/>
    <n v="327.76729999999998"/>
    <n v="349.53210000000001"/>
    <n v="0.93773161320519627"/>
    <n v="3"/>
  </r>
  <r>
    <x v="3"/>
    <n v="7.8513000000000002"/>
    <n v="7.8526999999999996"/>
    <n v="0.99982171737109526"/>
    <n v="3"/>
  </r>
  <r>
    <x v="4"/>
    <n v="1397.9328"/>
    <n v="1504.7012"/>
    <n v="0.92904345394288246"/>
    <n v="3"/>
  </r>
  <r>
    <x v="0"/>
    <n v="19.087800000000001"/>
    <n v="22.381699999999999"/>
    <n v="0.85283066076303404"/>
    <n v="1.5"/>
  </r>
  <r>
    <x v="1"/>
    <n v="143.0112"/>
    <n v="145.86879999999999"/>
    <n v="0.98040979290979291"/>
    <n v="3"/>
  </r>
  <r>
    <x v="2"/>
    <n v="0.52869999999999995"/>
    <n v="0.52869999999999995"/>
    <n v="1"/>
    <n v="3"/>
  </r>
  <r>
    <x v="3"/>
    <n v="3.4247000000000001"/>
    <n v="3.4247000000000001"/>
    <n v="1"/>
    <n v="3"/>
  </r>
  <r>
    <x v="4"/>
    <n v="166.05240000000001"/>
    <n v="172.2039"/>
    <n v="0.96427781252340972"/>
    <n v="3"/>
  </r>
  <r>
    <x v="0"/>
    <n v="27.4133"/>
    <n v="28.8477"/>
    <n v="0.95027679849693392"/>
    <n v="3"/>
  </r>
  <r>
    <x v="3"/>
    <n v="0.78059999999999996"/>
    <n v="0.78059999999999996"/>
    <n v="1"/>
    <n v="3"/>
  </r>
  <r>
    <x v="4"/>
    <n v="28.193899999999999"/>
    <n v="29.628299999999999"/>
    <n v="0.95158682745888223"/>
    <n v="3"/>
  </r>
  <r>
    <x v="0"/>
    <n v="54.722200000000001"/>
    <n v="66.742699999999999"/>
    <n v="0.81989790643770777"/>
    <n v="1.5"/>
  </r>
  <r>
    <x v="3"/>
    <n v="0.37159999999999999"/>
    <n v="0.37159999999999999"/>
    <n v="1"/>
    <n v="3"/>
  </r>
  <r>
    <x v="4"/>
    <n v="55.093800000000002"/>
    <n v="67.1143"/>
    <n v="0.82089509985204345"/>
    <n v="1.5"/>
  </r>
  <r>
    <x v="0"/>
    <n v="241.523"/>
    <n v="247.1482"/>
    <n v="0.97723956719085958"/>
    <n v="3"/>
  </r>
  <r>
    <x v="3"/>
    <n v="0.83030000000000004"/>
    <n v="0.83250000000000002"/>
    <n v="0.99735735735735731"/>
    <n v="3"/>
  </r>
  <r>
    <x v="4"/>
    <n v="242.35329999999999"/>
    <n v="247.98070000000001"/>
    <n v="0.9773071049480867"/>
    <n v="3"/>
  </r>
  <r>
    <x v="0"/>
    <n v="17.828399999999998"/>
    <n v="22.079799999999999"/>
    <n v="0.80745296605947514"/>
    <n v="1.5"/>
  </r>
  <r>
    <x v="3"/>
    <n v="2.2172000000000001"/>
    <n v="2.2172000000000001"/>
    <n v="1"/>
    <n v="3"/>
  </r>
  <r>
    <x v="4"/>
    <n v="20.0456"/>
    <n v="24.297000000000001"/>
    <n v="0.82502366547310368"/>
    <n v="1.5"/>
  </r>
  <r>
    <x v="0"/>
    <n v="24.2883"/>
    <n v="25.278500000000001"/>
    <n v="0.96082837193662596"/>
    <n v="3"/>
  </r>
  <r>
    <x v="4"/>
    <n v="24.2883"/>
    <n v="25.278500000000001"/>
    <n v="0.96082837193662596"/>
    <n v="3"/>
  </r>
  <r>
    <x v="0"/>
    <n v="225.28299999999999"/>
    <n v="235.32140000000001"/>
    <n v="0.95734174622452528"/>
    <n v="3"/>
  </r>
  <r>
    <x v="3"/>
    <n v="1.6247"/>
    <n v="1.6241000000000001"/>
    <n v="1"/>
    <n v="3"/>
  </r>
  <r>
    <x v="4"/>
    <n v="226.90770000000001"/>
    <n v="236.94550000000001"/>
    <n v="0.9576366717240884"/>
    <n v="3"/>
  </r>
  <r>
    <x v="0"/>
    <n v="45.6905"/>
    <n v="52.182499999999997"/>
    <n v="0.87559047573420212"/>
    <n v="1.5"/>
  </r>
  <r>
    <x v="3"/>
    <n v="0.88600000000000001"/>
    <n v="1.3876999999999999"/>
    <n v="0.63846652734740938"/>
    <n v="0"/>
  </r>
  <r>
    <x v="4"/>
    <n v="46.576500000000003"/>
    <n v="53.5702"/>
    <n v="0.86944793933940889"/>
    <n v="1.5"/>
  </r>
  <r>
    <x v="0"/>
    <n v="9.2169000000000008"/>
    <n v="10.267300000000001"/>
    <n v="0.89769462273431189"/>
    <n v="1.5"/>
  </r>
  <r>
    <x v="4"/>
    <n v="9.2169000000000008"/>
    <n v="10.267300000000001"/>
    <n v="0.89769462273431189"/>
    <n v="1.5"/>
  </r>
  <r>
    <x v="0"/>
    <n v="665.05340000000001"/>
    <n v="710.24980000000005"/>
    <n v="0.93636548718493129"/>
    <n v="3"/>
  </r>
  <r>
    <x v="1"/>
    <n v="143.0112"/>
    <n v="145.86879999999999"/>
    <n v="0.98040979290979291"/>
    <n v="3"/>
  </r>
  <r>
    <x v="2"/>
    <n v="0.52869999999999995"/>
    <n v="0.52869999999999995"/>
    <n v="1"/>
    <n v="3"/>
  </r>
  <r>
    <x v="3"/>
    <n v="10.1351"/>
    <n v="10.638400000000001"/>
    <n v="0.9526902541735599"/>
    <n v="3"/>
  </r>
  <r>
    <x v="4"/>
    <n v="818.72839999999997"/>
    <n v="867.28570000000002"/>
    <n v="0.94401233641924454"/>
    <n v="3"/>
  </r>
  <r>
    <x v="0"/>
    <n v="157.3904"/>
    <n v="171.21530000000001"/>
    <n v="0.91925429561493632"/>
    <n v="3"/>
  </r>
  <r>
    <x v="1"/>
    <n v="721.19820000000004"/>
    <n v="776.94359999999995"/>
    <n v="0.92825039037582646"/>
    <n v="3"/>
  </r>
  <r>
    <x v="3"/>
    <n v="3.0510999999999999"/>
    <n v="3.3814000000000002"/>
    <n v="0.90231856627432427"/>
    <n v="3"/>
  </r>
  <r>
    <x v="4"/>
    <n v="881.63969999999995"/>
    <n v="951.5403"/>
    <n v="0.92653952754286917"/>
    <n v="3"/>
  </r>
  <r>
    <x v="0"/>
    <n v="16.101800000000001"/>
    <n v="18.1797"/>
    <n v="0.88570218430447145"/>
    <n v="1.5"/>
  </r>
  <r>
    <x v="4"/>
    <n v="16.101800000000001"/>
    <n v="18.1797"/>
    <n v="0.88570218430447145"/>
    <n v="1.5"/>
  </r>
  <r>
    <x v="0"/>
    <n v="111.331"/>
    <n v="127.4817"/>
    <n v="0.87330965934718474"/>
    <n v="1.5"/>
  </r>
  <r>
    <x v="3"/>
    <n v="0.20810000000000001"/>
    <n v="0.20810000000000001"/>
    <n v="1"/>
    <n v="3"/>
  </r>
  <r>
    <x v="4"/>
    <n v="111.5391"/>
    <n v="127.68980000000001"/>
    <n v="0.87351613049750254"/>
    <n v="1.5"/>
  </r>
  <r>
    <x v="0"/>
    <n v="52.548200000000001"/>
    <n v="58.173699999999997"/>
    <n v="0.90329822583057295"/>
    <n v="3"/>
  </r>
  <r>
    <x v="3"/>
    <n v="2.1743999999999999"/>
    <n v="2.2056"/>
    <n v="0.98585418933623503"/>
    <n v="3"/>
  </r>
  <r>
    <x v="4"/>
    <n v="54.7226"/>
    <n v="60.379300000000001"/>
    <n v="0.90631391884304724"/>
    <n v="3"/>
  </r>
  <r>
    <x v="0"/>
    <n v="34.635599999999997"/>
    <n v="40.008499999999998"/>
    <n v="0.86570603746703823"/>
    <n v="1.5"/>
  </r>
  <r>
    <x v="3"/>
    <n v="1.5088999999999999"/>
    <n v="1.5088999999999999"/>
    <n v="1"/>
    <n v="3"/>
  </r>
  <r>
    <x v="4"/>
    <n v="36.144500000000001"/>
    <n v="41.517400000000002"/>
    <n v="0.87058679011691487"/>
    <n v="1.5"/>
  </r>
  <r>
    <x v="0"/>
    <n v="52.687800000000003"/>
    <n v="59.066099999999999"/>
    <n v="0.89201420103917473"/>
    <n v="1.5"/>
  </r>
  <r>
    <x v="4"/>
    <n v="52.687800000000003"/>
    <n v="59.066099999999999"/>
    <n v="0.89201420103917473"/>
    <n v="1.5"/>
  </r>
  <r>
    <x v="0"/>
    <n v="158.53749999999999"/>
    <n v="171.3501"/>
    <n v="0.92522560535418419"/>
    <n v="3"/>
  </r>
  <r>
    <x v="4"/>
    <n v="158.53749999999999"/>
    <n v="171.3501"/>
    <n v="0.92522560535418419"/>
    <n v="3"/>
  </r>
  <r>
    <x v="0"/>
    <n v="34.0702"/>
    <n v="37.466500000000003"/>
    <n v="0.90935102024475201"/>
    <n v="3"/>
  </r>
  <r>
    <x v="4"/>
    <n v="34.0702"/>
    <n v="37.466500000000003"/>
    <n v="0.90935102024475201"/>
    <n v="3"/>
  </r>
  <r>
    <x v="0"/>
    <n v="18.6675"/>
    <n v="21.0962"/>
    <n v="0.88487500118504758"/>
    <n v="1.5"/>
  </r>
  <r>
    <x v="4"/>
    <n v="18.6675"/>
    <n v="21.0962"/>
    <n v="0.88487500118504758"/>
    <n v="1.5"/>
  </r>
  <r>
    <x v="0"/>
    <n v="635.97"/>
    <n v="704.03779999999995"/>
    <n v="0.9033179752564422"/>
    <n v="3"/>
  </r>
  <r>
    <x v="1"/>
    <n v="721.19820000000004"/>
    <n v="776.94359999999995"/>
    <n v="0.92825039037582646"/>
    <n v="3"/>
  </r>
  <r>
    <x v="3"/>
    <n v="6.9424999999999999"/>
    <n v="7.3040000000000003"/>
    <n v="0.95050657174151154"/>
    <n v="3"/>
  </r>
  <r>
    <x v="4"/>
    <n v="1364.1107"/>
    <n v="1488.2854"/>
    <n v="0.9165652636248397"/>
    <n v="3"/>
  </r>
  <r>
    <x v="0"/>
    <n v="16.7212"/>
    <n v="18.767800000000001"/>
    <n v="0.89095152335382943"/>
    <n v="1.5"/>
  </r>
  <r>
    <x v="2"/>
    <n v="24.7104"/>
    <n v="24.7104"/>
    <n v="1"/>
    <n v="3"/>
  </r>
  <r>
    <x v="3"/>
    <n v="0.44750000000000001"/>
    <n v="0.44750000000000001"/>
    <n v="1"/>
    <n v="3"/>
  </r>
  <r>
    <x v="4"/>
    <n v="41.879100000000001"/>
    <n v="43.925699999999999"/>
    <n v="0.95340768616094906"/>
    <n v="3"/>
  </r>
  <r>
    <x v="0"/>
    <n v="56.353900000000003"/>
    <n v="61.5077"/>
    <n v="0.91620886490634501"/>
    <n v="3"/>
  </r>
  <r>
    <x v="3"/>
    <n v="0.98109999999999997"/>
    <n v="0.98109999999999997"/>
    <n v="1"/>
    <n v="3"/>
  </r>
  <r>
    <x v="4"/>
    <n v="57.335000000000001"/>
    <n v="62.488799999999998"/>
    <n v="0.91752442037613136"/>
    <n v="3"/>
  </r>
  <r>
    <x v="0"/>
    <n v="47.821300000000001"/>
    <n v="54.863999999999997"/>
    <n v="0.87163349372995047"/>
    <n v="1.5"/>
  </r>
  <r>
    <x v="4"/>
    <n v="47.821300000000001"/>
    <n v="54.863999999999997"/>
    <n v="0.87163349372995047"/>
    <n v="1.5"/>
  </r>
  <r>
    <x v="0"/>
    <n v="29.593699999999998"/>
    <n v="42.580399999999997"/>
    <n v="0.6950075621647519"/>
    <n v="0"/>
  </r>
  <r>
    <x v="4"/>
    <n v="29.593699999999998"/>
    <n v="42.580399999999997"/>
    <n v="0.6950075621647519"/>
    <n v="0"/>
  </r>
  <r>
    <x v="0"/>
    <n v="150.49010000000001"/>
    <n v="177.7199"/>
    <n v="0.84678249312541809"/>
    <n v="1.5"/>
  </r>
  <r>
    <x v="2"/>
    <n v="24.7104"/>
    <n v="24.7104"/>
    <n v="1"/>
    <n v="3"/>
  </r>
  <r>
    <x v="3"/>
    <n v="1.4286000000000001"/>
    <n v="1.4286000000000001"/>
    <n v="1"/>
    <n v="3"/>
  </r>
  <r>
    <x v="4"/>
    <n v="176.62909999999999"/>
    <n v="203.85890000000001"/>
    <n v="0.86642820107437057"/>
    <n v="1.5"/>
  </r>
  <r>
    <x v="0"/>
    <n v="269.51479999999998"/>
    <n v="290.82510000000002"/>
    <n v="0.92672468779345385"/>
    <n v="3"/>
  </r>
  <r>
    <x v="1"/>
    <n v="62.254199999999997"/>
    <n v="68.7624"/>
    <n v="0.90535234372273221"/>
    <n v="3"/>
  </r>
  <r>
    <x v="2"/>
    <n v="131.68719999999999"/>
    <n v="161.876"/>
    <n v="0.81350663470804818"/>
    <n v="1.5"/>
  </r>
  <r>
    <x v="3"/>
    <n v="3.4954999999999998"/>
    <n v="3.4929999999999999"/>
    <n v="1"/>
    <n v="3"/>
  </r>
  <r>
    <x v="4"/>
    <n v="466.95170000000002"/>
    <n v="524.95650000000001"/>
    <n v="0.88950551140904055"/>
    <n v="1.5"/>
  </r>
  <r>
    <x v="0"/>
    <n v="44.753"/>
    <n v="47.395000000000003"/>
    <n v="0.94425572317755035"/>
    <n v="3"/>
  </r>
  <r>
    <x v="2"/>
    <n v="49.542000000000002"/>
    <n v="52.019599999999997"/>
    <n v="0.95237179832217089"/>
    <n v="3"/>
  </r>
  <r>
    <x v="3"/>
    <n v="1.0405"/>
    <n v="1.0415000000000001"/>
    <n v="0.99903984637542009"/>
    <n v="3"/>
  </r>
  <r>
    <x v="4"/>
    <n v="95.335499999999996"/>
    <n v="100.45610000000001"/>
    <n v="0.94902649017829677"/>
    <n v="3"/>
  </r>
  <r>
    <x v="0"/>
    <n v="35.322699999999998"/>
    <n v="37.1753"/>
    <n v="0.9501658359179348"/>
    <n v="3"/>
  </r>
  <r>
    <x v="4"/>
    <n v="35.322699999999998"/>
    <n v="37.1753"/>
    <n v="0.9501658359179348"/>
    <n v="3"/>
  </r>
  <r>
    <x v="0"/>
    <n v="92.042100000000005"/>
    <n v="101.6853"/>
    <n v="0.90516623346737435"/>
    <n v="3"/>
  </r>
  <r>
    <x v="4"/>
    <n v="92.042100000000005"/>
    <n v="101.6853"/>
    <n v="0.90516623346737435"/>
    <n v="3"/>
  </r>
  <r>
    <x v="0"/>
    <n v="11.577"/>
    <n v="14.4603"/>
    <n v="0.80060579656023734"/>
    <n v="1.5"/>
  </r>
  <r>
    <x v="4"/>
    <n v="11.577"/>
    <n v="14.4603"/>
    <n v="0.80060579656023734"/>
    <n v="1.5"/>
  </r>
  <r>
    <x v="0"/>
    <n v="21.7179"/>
    <n v="24.6128"/>
    <n v="0.88238233764545282"/>
    <n v="1.5"/>
  </r>
  <r>
    <x v="4"/>
    <n v="21.7179"/>
    <n v="24.6128"/>
    <n v="0.88238233764545282"/>
    <n v="1.5"/>
  </r>
  <r>
    <x v="0"/>
    <n v="21.861999999999998"/>
    <n v="28.8355"/>
    <n v="0.75816268141700338"/>
    <n v="0"/>
  </r>
  <r>
    <x v="4"/>
    <n v="21.861999999999998"/>
    <n v="28.8355"/>
    <n v="0.75816268141700338"/>
    <n v="0"/>
  </r>
  <r>
    <x v="0"/>
    <n v="496.78949999999998"/>
    <n v="544.98929999999996"/>
    <n v="0.91155826362095549"/>
    <n v="3"/>
  </r>
  <r>
    <x v="1"/>
    <n v="62.254199999999997"/>
    <n v="68.7624"/>
    <n v="0.90535234372273221"/>
    <n v="3"/>
  </r>
  <r>
    <x v="2"/>
    <n v="181.22919999999999"/>
    <n v="213.8956"/>
    <n v="0.84727876590261786"/>
    <n v="1.5"/>
  </r>
  <r>
    <x v="3"/>
    <n v="4.5359999999999996"/>
    <n v="4.5345000000000004"/>
    <n v="1"/>
    <n v="3"/>
  </r>
  <r>
    <x v="4"/>
    <n v="744.80889999999999"/>
    <n v="832.18179999999995"/>
    <n v="0.89500743707685027"/>
    <n v="1.5"/>
  </r>
  <r>
    <x v="0"/>
    <n v="134.27170000000001"/>
    <n v="146.44120000000001"/>
    <n v="0.91689838651964062"/>
    <n v="3"/>
  </r>
  <r>
    <x v="2"/>
    <n v="131.6413"/>
    <n v="134.66829999999999"/>
    <n v="0.97752254985026177"/>
    <n v="3"/>
  </r>
  <r>
    <x v="3"/>
    <n v="3.9439000000000002"/>
    <n v="3.9439000000000002"/>
    <n v="1"/>
    <n v="3"/>
  </r>
  <r>
    <x v="4"/>
    <n v="269.8569"/>
    <n v="285.05340000000001"/>
    <n v="0.94668893617827399"/>
    <n v="3"/>
  </r>
  <r>
    <x v="0"/>
    <n v="28.976500000000001"/>
    <n v="28.9787"/>
    <n v="0.99992408217069784"/>
    <n v="3"/>
  </r>
  <r>
    <x v="1"/>
    <n v="10.039199999999999"/>
    <n v="12.3218"/>
    <n v="0.81475109156129788"/>
    <n v="1.5"/>
  </r>
  <r>
    <x v="2"/>
    <n v="1.6581999999999999"/>
    <n v="1.6581999999999999"/>
    <n v="1"/>
    <n v="3"/>
  </r>
  <r>
    <x v="3"/>
    <n v="0.84809999999999997"/>
    <n v="0.84789999999999999"/>
    <n v="1"/>
    <n v="3"/>
  </r>
  <r>
    <x v="4"/>
    <n v="41.521999999999998"/>
    <n v="43.806600000000003"/>
    <n v="0.94784804116274712"/>
    <n v="3"/>
  </r>
  <r>
    <x v="0"/>
    <n v="75.7333"/>
    <n v="86.224199999999996"/>
    <n v="0.87832998160609199"/>
    <n v="1.5"/>
  </r>
  <r>
    <x v="4"/>
    <n v="75.7333"/>
    <n v="86.224199999999996"/>
    <n v="0.87832998160609199"/>
    <n v="1.5"/>
  </r>
  <r>
    <x v="0"/>
    <n v="8.5244999999999997"/>
    <n v="49.083799999999997"/>
    <n v="0.17367237255469217"/>
    <n v="0"/>
  </r>
  <r>
    <x v="4"/>
    <n v="8.5244999999999997"/>
    <n v="49.083799999999997"/>
    <n v="0.17367237255469217"/>
    <n v="0"/>
  </r>
  <r>
    <x v="0"/>
    <n v="113.2343"/>
    <n v="164.2867"/>
    <n v="0.68924812538081293"/>
    <n v="0"/>
  </r>
  <r>
    <x v="1"/>
    <n v="10.039199999999999"/>
    <n v="12.3218"/>
    <n v="0.81475109156129788"/>
    <n v="1.5"/>
  </r>
  <r>
    <x v="2"/>
    <n v="1.6581999999999999"/>
    <n v="1.6581999999999999"/>
    <n v="1"/>
    <n v="3"/>
  </r>
  <r>
    <x v="3"/>
    <n v="0.84809999999999997"/>
    <n v="0.84789999999999999"/>
    <n v="1"/>
    <n v="3"/>
  </r>
  <r>
    <x v="4"/>
    <n v="125.77979999999999"/>
    <n v="179.1146"/>
    <n v="0.70223086225243503"/>
    <n v="0"/>
  </r>
  <r>
    <x v="0"/>
    <n v="3718.7296000000001"/>
    <n v="4120.1490999999996"/>
    <n v="0.90257160839155071"/>
    <n v="3"/>
  </r>
  <r>
    <x v="1"/>
    <n v="1372.3498"/>
    <n v="1453.8302000000001"/>
    <n v="0.94395466540728068"/>
    <n v="3"/>
  </r>
  <r>
    <x v="2"/>
    <n v="732.63879999999995"/>
    <n v="793.00869999999998"/>
    <n v="0.9238723358268327"/>
    <n v="3"/>
  </r>
  <r>
    <x v="3"/>
    <n v="45.4544"/>
    <n v="46.562899999999999"/>
    <n v="0.97619349310287806"/>
    <n v="3"/>
  </r>
  <r>
    <x v="4"/>
    <n v="5869.1725999999999"/>
    <n v="6413.5509000000002"/>
    <n v="0.91512060814859986"/>
    <n v="3"/>
  </r>
  <r>
    <x v="0"/>
    <n v="72.405799999999999"/>
    <n v="72.708100000000002"/>
    <n v="0.99584227892078048"/>
    <n v="3"/>
  </r>
  <r>
    <x v="1"/>
    <n v="44.286200000000001"/>
    <n v="44.276200000000003"/>
    <n v="1"/>
    <n v="3"/>
  </r>
  <r>
    <x v="2"/>
    <n v="0.69840000000000002"/>
    <n v="0.69840000000000002"/>
    <n v="1"/>
    <n v="3"/>
  </r>
  <r>
    <x v="3"/>
    <n v="1.0558000000000001"/>
    <n v="1.0558000000000001"/>
    <n v="1"/>
    <n v="3"/>
  </r>
  <r>
    <x v="4"/>
    <n v="118.4462"/>
    <n v="118.7385"/>
    <n v="0.99753828791840893"/>
    <n v="3"/>
  </r>
  <r>
    <x v="0"/>
    <n v="285.28789999999998"/>
    <n v="299.3571"/>
    <n v="0.95300194984518494"/>
    <n v="3"/>
  </r>
  <r>
    <x v="2"/>
    <n v="229.63300000000001"/>
    <n v="229.9162"/>
    <n v="0.99876824686559706"/>
    <n v="3"/>
  </r>
  <r>
    <x v="3"/>
    <n v="1.3402000000000001"/>
    <n v="1.331"/>
    <n v="1"/>
    <n v="3"/>
  </r>
  <r>
    <x v="4"/>
    <n v="516.26110000000006"/>
    <n v="530.60429999999997"/>
    <n v="0.97296817986586237"/>
    <n v="3"/>
  </r>
  <r>
    <x v="0"/>
    <n v="54.8093"/>
    <n v="57.235300000000002"/>
    <n v="0.95761357064608732"/>
    <n v="3"/>
  </r>
  <r>
    <x v="2"/>
    <n v="0.55610000000000004"/>
    <n v="0.55610000000000004"/>
    <n v="1"/>
    <n v="3"/>
  </r>
  <r>
    <x v="3"/>
    <n v="2.9822000000000002"/>
    <n v="3.0733000000000001"/>
    <n v="0.97035759606937166"/>
    <n v="3"/>
  </r>
  <r>
    <x v="4"/>
    <n v="58.3476"/>
    <n v="60.864699999999999"/>
    <n v="0.95864433735810739"/>
    <n v="3"/>
  </r>
  <r>
    <x v="0"/>
    <n v="18.414100000000001"/>
    <n v="19.732299999999999"/>
    <n v="0.9331958261327874"/>
    <n v="3"/>
  </r>
  <r>
    <x v="1"/>
    <n v="44.358499999999999"/>
    <n v="45.648200000000003"/>
    <n v="0.97174696921236758"/>
    <n v="3"/>
  </r>
  <r>
    <x v="2"/>
    <n v="279.11"/>
    <n v="289.04300000000001"/>
    <n v="0.9656348709361583"/>
    <n v="3"/>
  </r>
  <r>
    <x v="3"/>
    <n v="1.0795999999999999"/>
    <n v="1.0795999999999999"/>
    <n v="1"/>
    <n v="3"/>
  </r>
  <r>
    <x v="4"/>
    <n v="342.9622"/>
    <n v="355.50310000000002"/>
    <n v="0.96472351436597881"/>
    <n v="3"/>
  </r>
  <r>
    <x v="0"/>
    <n v="73.936700000000002"/>
    <n v="76.981200000000001"/>
    <n v="0.96045138293505428"/>
    <n v="3"/>
  </r>
  <r>
    <x v="3"/>
    <n v="0.57930000000000004"/>
    <n v="0.57930000000000004"/>
    <n v="1"/>
    <n v="3"/>
  </r>
  <r>
    <x v="4"/>
    <n v="74.516000000000005"/>
    <n v="77.560500000000005"/>
    <n v="0.96074677187485902"/>
    <n v="3"/>
  </r>
  <r>
    <x v="0"/>
    <n v="85.452699999999993"/>
    <n v="87.157499999999999"/>
    <n v="0.98044000803143738"/>
    <n v="3"/>
  </r>
  <r>
    <x v="3"/>
    <n v="0.61170000000000002"/>
    <n v="0.61319999999999997"/>
    <n v="0.99755381604696669"/>
    <n v="3"/>
  </r>
  <r>
    <x v="4"/>
    <n v="86.064400000000006"/>
    <n v="87.770700000000005"/>
    <n v="0.980559571702174"/>
    <n v="3"/>
  </r>
  <r>
    <x v="0"/>
    <n v="53.089100000000002"/>
    <n v="56.8035"/>
    <n v="0.93460966313695459"/>
    <n v="3"/>
  </r>
  <r>
    <x v="3"/>
    <n v="0.32300000000000001"/>
    <n v="0.32019999999999998"/>
    <n v="1"/>
    <n v="3"/>
  </r>
  <r>
    <x v="4"/>
    <n v="53.412100000000002"/>
    <n v="57.123699999999999"/>
    <n v="0.93502521720406762"/>
    <n v="3"/>
  </r>
  <r>
    <x v="0"/>
    <n v="18.092700000000001"/>
    <n v="18.3476"/>
    <n v="0.9861071747803527"/>
    <n v="3"/>
  </r>
  <r>
    <x v="4"/>
    <n v="18.092700000000001"/>
    <n v="18.3476"/>
    <n v="0.9861071747803527"/>
    <n v="3"/>
  </r>
  <r>
    <x v="0"/>
    <n v="22.019200000000001"/>
    <n v="22.513200000000001"/>
    <n v="0.97805731748485336"/>
    <n v="3"/>
  </r>
  <r>
    <x v="3"/>
    <n v="1.0947"/>
    <n v="1.0955999999999999"/>
    <n v="0.99917853231106246"/>
    <n v="3"/>
  </r>
  <r>
    <x v="4"/>
    <n v="23.113900000000001"/>
    <n v="23.608799999999999"/>
    <n v="0.97903747755074377"/>
    <n v="3"/>
  </r>
  <r>
    <x v="0"/>
    <n v="21.7117"/>
    <n v="24.348500000000001"/>
    <n v="0.89170585457009677"/>
    <n v="1.5"/>
  </r>
  <r>
    <x v="3"/>
    <n v="0.93100000000000005"/>
    <n v="0.93100000000000005"/>
    <n v="1"/>
    <n v="3"/>
  </r>
  <r>
    <x v="4"/>
    <n v="22.642700000000001"/>
    <n v="25.279499999999999"/>
    <n v="0.89569413952016452"/>
    <n v="1.5"/>
  </r>
  <r>
    <x v="0"/>
    <n v="51.551400000000001"/>
    <n v="54.691200000000002"/>
    <n v="0.94259039845532733"/>
    <n v="3"/>
  </r>
  <r>
    <x v="4"/>
    <n v="51.551400000000001"/>
    <n v="54.691200000000002"/>
    <n v="0.94259039845532733"/>
    <n v="3"/>
  </r>
  <r>
    <x v="0"/>
    <n v="20.5336"/>
    <n v="23.6754"/>
    <n v="0.86729685665289713"/>
    <n v="1.5"/>
  </r>
  <r>
    <x v="4"/>
    <n v="20.5336"/>
    <n v="23.6754"/>
    <n v="0.86729685665289713"/>
    <n v="1.5"/>
  </r>
  <r>
    <x v="0"/>
    <n v="364.80119999999999"/>
    <n v="384.25040000000001"/>
    <n v="0.94938404748570204"/>
    <n v="3"/>
  </r>
  <r>
    <x v="1"/>
    <n v="44.358499999999999"/>
    <n v="45.648200000000003"/>
    <n v="0.97174696921236758"/>
    <n v="3"/>
  </r>
  <r>
    <x v="2"/>
    <n v="279.11"/>
    <n v="289.04300000000001"/>
    <n v="0.9656348709361583"/>
    <n v="3"/>
  </r>
  <r>
    <x v="3"/>
    <n v="4.6193"/>
    <n v="4.6189"/>
    <n v="1"/>
    <n v="3"/>
  </r>
  <r>
    <x v="4"/>
    <n v="692.88900000000001"/>
    <n v="723.56050000000005"/>
    <n v="0.95761031731278867"/>
    <n v="3"/>
  </r>
  <r>
    <x v="0"/>
    <n v="14.5113"/>
    <n v="14.773899999999999"/>
    <n v="0.98222541102890903"/>
    <n v="3"/>
  </r>
  <r>
    <x v="1"/>
    <n v="47.753500000000003"/>
    <n v="50.108499999999999"/>
    <n v="0.95300198569105044"/>
    <n v="3"/>
  </r>
  <r>
    <x v="2"/>
    <n v="4.7359999999999998"/>
    <n v="4.7359999999999998"/>
    <n v="1"/>
    <n v="3"/>
  </r>
  <r>
    <x v="4"/>
    <n v="67.000799999999998"/>
    <n v="69.618399999999994"/>
    <n v="0.96240074463072978"/>
    <n v="3"/>
  </r>
  <r>
    <x v="0"/>
    <n v="26.1387"/>
    <n v="28.872699999999998"/>
    <n v="0.90530847478760212"/>
    <n v="3"/>
  </r>
  <r>
    <x v="3"/>
    <n v="0.94599999999999995"/>
    <n v="0.94599999999999995"/>
    <n v="1"/>
    <n v="3"/>
  </r>
  <r>
    <x v="4"/>
    <n v="27.084700000000002"/>
    <n v="29.8187"/>
    <n v="0.90831256895840529"/>
    <n v="3"/>
  </r>
  <r>
    <x v="0"/>
    <n v="47.129800000000003"/>
    <n v="49.7545"/>
    <n v="0.94724698268498331"/>
    <n v="3"/>
  </r>
  <r>
    <x v="4"/>
    <n v="47.129800000000003"/>
    <n v="49.7545"/>
    <n v="0.94724698268498331"/>
    <n v="3"/>
  </r>
  <r>
    <x v="0"/>
    <n v="101.9132"/>
    <n v="104.6743"/>
    <n v="0.97362198744104334"/>
    <n v="3"/>
  </r>
  <r>
    <x v="4"/>
    <n v="101.9132"/>
    <n v="104.6743"/>
    <n v="0.97362198744104334"/>
    <n v="3"/>
  </r>
  <r>
    <x v="0"/>
    <n v="6.9012000000000002"/>
    <n v="6.9017999999999997"/>
    <n v="0.99991306615665476"/>
    <n v="3"/>
  </r>
  <r>
    <x v="4"/>
    <n v="6.9012000000000002"/>
    <n v="6.9017999999999997"/>
    <n v="0.99991306615665476"/>
    <n v="3"/>
  </r>
  <r>
    <x v="0"/>
    <n v="13.267300000000001"/>
    <n v="14.4505"/>
    <n v="0.91812048026019866"/>
    <n v="3"/>
  </r>
  <r>
    <x v="4"/>
    <n v="13.267300000000001"/>
    <n v="14.4505"/>
    <n v="0.91812048026019866"/>
    <n v="3"/>
  </r>
  <r>
    <x v="0"/>
    <n v="95.106700000000004"/>
    <n v="104.8506"/>
    <n v="0.90706872445174369"/>
    <n v="3"/>
  </r>
  <r>
    <x v="3"/>
    <n v="0.90010000000000001"/>
    <n v="0.90010000000000001"/>
    <n v="1"/>
    <n v="3"/>
  </r>
  <r>
    <x v="4"/>
    <n v="96.006799999999998"/>
    <n v="105.75069999999999"/>
    <n v="0.90785971156692102"/>
    <n v="3"/>
  </r>
  <r>
    <x v="0"/>
    <n v="38.525500000000001"/>
    <n v="38.603200000000001"/>
    <n v="0.99798721349525432"/>
    <n v="3"/>
  </r>
  <r>
    <x v="3"/>
    <n v="1.6884999999999999"/>
    <n v="1.6884999999999999"/>
    <n v="1"/>
    <n v="3"/>
  </r>
  <r>
    <x v="4"/>
    <n v="40.213999999999999"/>
    <n v="40.291699999999999"/>
    <n v="0.99807156312590439"/>
    <n v="3"/>
  </r>
  <r>
    <x v="0"/>
    <n v="5.1272000000000002"/>
    <n v="7.4086999999999996"/>
    <n v="0.69205123705913318"/>
    <n v="0"/>
  </r>
  <r>
    <x v="4"/>
    <n v="5.1272000000000002"/>
    <n v="7.4086999999999996"/>
    <n v="0.69205123705913318"/>
    <n v="0"/>
  </r>
  <r>
    <x v="0"/>
    <n v="348.62090000000001"/>
    <n v="370.29020000000003"/>
    <n v="0.94148022280902921"/>
    <n v="3"/>
  </r>
  <r>
    <x v="1"/>
    <n v="47.753500000000003"/>
    <n v="50.108499999999999"/>
    <n v="0.95300198569105044"/>
    <n v="3"/>
  </r>
  <r>
    <x v="2"/>
    <n v="4.7359999999999998"/>
    <n v="4.7359999999999998"/>
    <n v="1"/>
    <n v="3"/>
  </r>
  <r>
    <x v="3"/>
    <n v="3.5346000000000002"/>
    <n v="3.5346000000000002"/>
    <n v="1"/>
    <n v="3"/>
  </r>
  <r>
    <x v="4"/>
    <n v="404.64499999999998"/>
    <n v="428.66930000000002"/>
    <n v="0.94395609855895912"/>
    <n v="3"/>
  </r>
  <r>
    <x v="0"/>
    <n v="104.3706"/>
    <n v="114.85129999999999"/>
    <n v="0.90874548220176876"/>
    <n v="3"/>
  </r>
  <r>
    <x v="1"/>
    <n v="71.576999999999998"/>
    <n v="74.868499999999997"/>
    <n v="0.95603625022539518"/>
    <n v="3"/>
  </r>
  <r>
    <x v="2"/>
    <n v="2.1888000000000001"/>
    <n v="2.3776000000000002"/>
    <n v="0.92059219380888291"/>
    <n v="3"/>
  </r>
  <r>
    <x v="3"/>
    <n v="1.3362000000000001"/>
    <n v="2.2740999999999998"/>
    <n v="0.58757310584407019"/>
    <n v="0"/>
  </r>
  <r>
    <x v="4"/>
    <n v="179.4726"/>
    <n v="194.3715"/>
    <n v="0.92334833038794273"/>
    <n v="3"/>
  </r>
  <r>
    <x v="0"/>
    <n v="6.7434000000000003"/>
    <n v="6.7221000000000002"/>
    <n v="1"/>
    <n v="3"/>
  </r>
  <r>
    <x v="4"/>
    <n v="6.7434000000000003"/>
    <n v="6.7221000000000002"/>
    <n v="1"/>
    <n v="3"/>
  </r>
  <r>
    <x v="0"/>
    <n v="65.784400000000005"/>
    <n v="68.072199999999995"/>
    <n v="0.96639156660134384"/>
    <n v="3"/>
  </r>
  <r>
    <x v="4"/>
    <n v="65.784400000000005"/>
    <n v="68.072199999999995"/>
    <n v="0.96639156660134384"/>
    <n v="3"/>
  </r>
  <r>
    <x v="0"/>
    <n v="31.493400000000001"/>
    <n v="32.405799999999999"/>
    <n v="0.97184454634664164"/>
    <n v="3"/>
  </r>
  <r>
    <x v="2"/>
    <n v="3.5085000000000002"/>
    <n v="3.6972999999999998"/>
    <n v="0.94893570984231734"/>
    <n v="3"/>
  </r>
  <r>
    <x v="4"/>
    <n v="35.001899999999999"/>
    <n v="36.103099999999998"/>
    <n v="0.96949846412080953"/>
    <n v="3"/>
  </r>
  <r>
    <x v="0"/>
    <n v="6.3040000000000003"/>
    <n v="7.5834000000000001"/>
    <n v="0.83128939525806367"/>
    <n v="1.5"/>
  </r>
  <r>
    <x v="2"/>
    <n v="1.8496999999999999"/>
    <n v="1.8496999999999999"/>
    <n v="1"/>
    <n v="3"/>
  </r>
  <r>
    <x v="4"/>
    <n v="8.1537000000000006"/>
    <n v="9.4330999999999996"/>
    <n v="0.86437120352800245"/>
    <n v="1.5"/>
  </r>
  <r>
    <x v="0"/>
    <n v="35.787599999999998"/>
    <n v="40.753599999999999"/>
    <n v="0.87814573436457144"/>
    <n v="1.5"/>
  </r>
  <r>
    <x v="4"/>
    <n v="35.787599999999998"/>
    <n v="40.753599999999999"/>
    <n v="0.87814573436457144"/>
    <n v="1.5"/>
  </r>
  <r>
    <x v="0"/>
    <n v="87.296499999999995"/>
    <n v="94.998199999999997"/>
    <n v="0.91892793758197522"/>
    <n v="3"/>
  </r>
  <r>
    <x v="4"/>
    <n v="87.296499999999995"/>
    <n v="94.998199999999997"/>
    <n v="0.91892793758197522"/>
    <n v="3"/>
  </r>
  <r>
    <x v="0"/>
    <n v="10.2698"/>
    <n v="13.411300000000001"/>
    <n v="0.76575723457084699"/>
    <n v="0"/>
  </r>
  <r>
    <x v="3"/>
    <n v="0.94810000000000005"/>
    <n v="0.94810000000000005"/>
    <n v="1"/>
    <n v="3"/>
  </r>
  <r>
    <x v="4"/>
    <n v="11.2179"/>
    <n v="14.359400000000001"/>
    <n v="0.78122344944774846"/>
    <n v="0"/>
  </r>
  <r>
    <x v="0"/>
    <n v="348.04969999999997"/>
    <n v="378.79790000000003"/>
    <n v="0.91882689951554641"/>
    <n v="3"/>
  </r>
  <r>
    <x v="1"/>
    <n v="71.576999999999998"/>
    <n v="74.868499999999997"/>
    <n v="0.95603625022539518"/>
    <n v="3"/>
  </r>
  <r>
    <x v="2"/>
    <n v="7.5469999999999997"/>
    <n v="7.9245999999999999"/>
    <n v="0.95235090730131489"/>
    <n v="3"/>
  </r>
  <r>
    <x v="3"/>
    <n v="2.2843"/>
    <n v="3.2222"/>
    <n v="0.70892557879709517"/>
    <n v="0"/>
  </r>
  <r>
    <x v="4"/>
    <n v="429.45800000000003"/>
    <n v="464.81319999999999"/>
    <n v="0.9239367556687289"/>
    <n v="3"/>
  </r>
  <r>
    <x v="0"/>
    <n v="8.8302999999999994"/>
    <n v="10.1639"/>
    <n v="0.86879052332274032"/>
    <n v="1.5"/>
  </r>
  <r>
    <x v="2"/>
    <n v="32.272399999999998"/>
    <n v="32.272399999999998"/>
    <n v="1"/>
    <n v="3"/>
  </r>
  <r>
    <x v="3"/>
    <n v="0.48799999999999999"/>
    <n v="0.48799999999999999"/>
    <n v="1"/>
    <n v="3"/>
  </r>
  <r>
    <x v="4"/>
    <n v="41.590699999999998"/>
    <n v="42.924300000000002"/>
    <n v="0.96893135123927476"/>
    <n v="3"/>
  </r>
  <r>
    <x v="0"/>
    <n v="39.314"/>
    <n v="41.656399999999998"/>
    <n v="0.94376854456938186"/>
    <n v="3"/>
  </r>
  <r>
    <x v="4"/>
    <n v="39.314"/>
    <n v="41.656399999999998"/>
    <n v="0.94376854456938186"/>
    <n v="3"/>
  </r>
  <r>
    <x v="0"/>
    <n v="35.0396"/>
    <n v="36.471200000000003"/>
    <n v="0.96074711004847657"/>
    <n v="3"/>
  </r>
  <r>
    <x v="4"/>
    <n v="35.0396"/>
    <n v="36.471200000000003"/>
    <n v="0.96074711004847657"/>
    <n v="3"/>
  </r>
  <r>
    <x v="0"/>
    <n v="83.183899999999994"/>
    <n v="88.291499999999999"/>
    <n v="0.94215071666015415"/>
    <n v="3"/>
  </r>
  <r>
    <x v="2"/>
    <n v="32.272399999999998"/>
    <n v="32.272399999999998"/>
    <n v="1"/>
    <n v="3"/>
  </r>
  <r>
    <x v="3"/>
    <n v="0.48799999999999999"/>
    <n v="0.48799999999999999"/>
    <n v="1"/>
    <n v="3"/>
  </r>
  <r>
    <x v="4"/>
    <n v="115.9443"/>
    <n v="121.0519"/>
    <n v="0.95780652761336249"/>
    <n v="3"/>
  </r>
  <r>
    <x v="0"/>
    <n v="162.2576"/>
    <n v="178.714"/>
    <n v="0.90791767852546523"/>
    <n v="3"/>
  </r>
  <r>
    <x v="2"/>
    <n v="235.70339999999999"/>
    <n v="251.8252"/>
    <n v="0.93598019578660119"/>
    <n v="3"/>
  </r>
  <r>
    <x v="3"/>
    <n v="0.1913"/>
    <n v="0.1913"/>
    <n v="1"/>
    <n v="3"/>
  </r>
  <r>
    <x v="4"/>
    <n v="398.15230000000003"/>
    <n v="430.73050000000001"/>
    <n v="0.92436523533857018"/>
    <n v="3"/>
  </r>
  <r>
    <x v="0"/>
    <n v="30.222799999999999"/>
    <n v="31.803899999999999"/>
    <n v="0.95028597121736647"/>
    <n v="3"/>
  </r>
  <r>
    <x v="2"/>
    <n v="16.570599999999999"/>
    <n v="17.9482"/>
    <n v="0.92324578509265554"/>
    <n v="3"/>
  </r>
  <r>
    <x v="3"/>
    <n v="0.87709999999999999"/>
    <n v="0.87770000000000004"/>
    <n v="0.99931639512361858"/>
    <n v="3"/>
  </r>
  <r>
    <x v="4"/>
    <n v="47.670499999999997"/>
    <n v="50.629800000000003"/>
    <n v="0.94155023326183396"/>
    <n v="3"/>
  </r>
  <r>
    <x v="0"/>
    <n v="23.460899999999999"/>
    <n v="23.660699999999999"/>
    <n v="0.99155561754301436"/>
    <n v="3"/>
  </r>
  <r>
    <x v="4"/>
    <n v="23.460899999999999"/>
    <n v="23.660699999999999"/>
    <n v="0.99155561754301436"/>
    <n v="3"/>
  </r>
  <r>
    <x v="0"/>
    <n v="40.773899999999998"/>
    <n v="42.5441"/>
    <n v="0.9583914103248159"/>
    <n v="3"/>
  </r>
  <r>
    <x v="3"/>
    <n v="0.31240000000000001"/>
    <n v="0.313"/>
    <n v="0.99808306709265171"/>
    <n v="3"/>
  </r>
  <r>
    <x v="4"/>
    <n v="41.086300000000001"/>
    <n v="42.857100000000003"/>
    <n v="0.95868129201462537"/>
    <n v="3"/>
  </r>
  <r>
    <x v="0"/>
    <n v="16.5184"/>
    <n v="17.542999999999999"/>
    <n v="0.94159493815196948"/>
    <n v="3"/>
  </r>
  <r>
    <x v="4"/>
    <n v="16.5184"/>
    <n v="17.542999999999999"/>
    <n v="0.94159493815196948"/>
    <n v="3"/>
  </r>
  <r>
    <x v="0"/>
    <n v="273.23360000000002"/>
    <n v="294.26569999999998"/>
    <n v="0.92852683816020687"/>
    <n v="3"/>
  </r>
  <r>
    <x v="2"/>
    <n v="252.274"/>
    <n v="269.77339999999998"/>
    <n v="0.93513296714946692"/>
    <n v="3"/>
  </r>
  <r>
    <x v="3"/>
    <n v="1.3808"/>
    <n v="1.3819999999999999"/>
    <n v="0.99913169319826334"/>
    <n v="3"/>
  </r>
  <r>
    <x v="4"/>
    <n v="526.88840000000005"/>
    <n v="565.42110000000002"/>
    <n v="0.93185132284592842"/>
    <n v="3"/>
  </r>
  <r>
    <x v="0"/>
    <n v="73.701599999999999"/>
    <n v="82.862499999999997"/>
    <n v="0.8894445617740232"/>
    <n v="1.5"/>
  </r>
  <r>
    <x v="2"/>
    <n v="139.70230000000001"/>
    <n v="144.06890000000001"/>
    <n v="0.96969089095564687"/>
    <n v="3"/>
  </r>
  <r>
    <x v="3"/>
    <n v="2.1791"/>
    <n v="2.1791"/>
    <n v="1"/>
    <n v="3"/>
  </r>
  <r>
    <x v="4"/>
    <n v="215.583"/>
    <n v="229.1105"/>
    <n v="0.940956438050635"/>
    <n v="3"/>
  </r>
  <r>
    <x v="0"/>
    <n v="23.031099999999999"/>
    <n v="23.390899999999998"/>
    <n v="0.98461794971548766"/>
    <n v="3"/>
  </r>
  <r>
    <x v="3"/>
    <n v="0.45279999999999998"/>
    <n v="0.45279999999999998"/>
    <n v="1"/>
    <n v="3"/>
  </r>
  <r>
    <x v="4"/>
    <n v="23.483899999999998"/>
    <n v="23.843699999999998"/>
    <n v="0.98491006009973281"/>
    <n v="3"/>
  </r>
  <r>
    <x v="0"/>
    <n v="41.892899999999997"/>
    <n v="45.308500000000002"/>
    <n v="0.92461458666696095"/>
    <n v="3"/>
  </r>
  <r>
    <x v="2"/>
    <n v="0.1913"/>
    <n v="0.1913"/>
    <n v="1"/>
    <n v="3"/>
  </r>
  <r>
    <x v="4"/>
    <n v="42.084200000000003"/>
    <n v="45.4998"/>
    <n v="0.92493153816060725"/>
    <n v="3"/>
  </r>
  <r>
    <x v="0"/>
    <n v="64.924000000000007"/>
    <n v="68.699399999999997"/>
    <n v="0.94504464376690334"/>
    <n v="3"/>
  </r>
  <r>
    <x v="2"/>
    <n v="0.1913"/>
    <n v="0.1913"/>
    <n v="1"/>
    <n v="3"/>
  </r>
  <r>
    <x v="3"/>
    <n v="0.45279999999999998"/>
    <n v="0.45279999999999998"/>
    <n v="1"/>
    <n v="3"/>
  </r>
  <r>
    <x v="4"/>
    <n v="65.568100000000001"/>
    <n v="69.343500000000006"/>
    <n v="0.94555509889174905"/>
    <n v="3"/>
  </r>
  <r>
    <x v="0"/>
    <n v="1969.0179000000001"/>
    <n v="2096.7581"/>
    <n v="0.93907728316394723"/>
    <n v="3"/>
  </r>
  <r>
    <x v="1"/>
    <n v="207.9752"/>
    <n v="214.9014"/>
    <n v="0.96777033560507286"/>
    <n v="3"/>
  </r>
  <r>
    <x v="2"/>
    <n v="946.72050000000002"/>
    <n v="979.18029999999999"/>
    <n v="0.96685002751791471"/>
    <n v="3"/>
  </r>
  <r>
    <x v="3"/>
    <n v="20.3171"/>
    <n v="21.337700000000002"/>
    <n v="0.95216916537396257"/>
    <n v="3"/>
  </r>
  <r>
    <x v="4"/>
    <n v="3144.0306999999998"/>
    <n v="3312.1774999999998"/>
    <n v="0.9492337593622322"/>
    <n v="3"/>
  </r>
  <r>
    <x v="0"/>
    <n v="491.339"/>
    <n v="498.3537"/>
    <n v="0.9859242541993769"/>
    <n v="3"/>
  </r>
  <r>
    <x v="1"/>
    <n v="74.663600000000002"/>
    <n v="75.328900000000004"/>
    <n v="0.99116806431528937"/>
    <n v="3"/>
  </r>
  <r>
    <x v="2"/>
    <n v="105.61660000000001"/>
    <n v="105.61660000000001"/>
    <n v="1"/>
    <n v="3"/>
  </r>
  <r>
    <x v="3"/>
    <n v="0.99550000000000005"/>
    <n v="0.99550000000000005"/>
    <n v="1"/>
    <n v="3"/>
  </r>
  <r>
    <x v="4"/>
    <n v="672.61469999999997"/>
    <n v="680.29470000000003"/>
    <n v="0.98871077490387627"/>
    <n v="3"/>
  </r>
  <r>
    <x v="0"/>
    <n v="994.13649999999996"/>
    <n v="1029.6072999999999"/>
    <n v="0.96554919530970695"/>
    <n v="3"/>
  </r>
  <r>
    <x v="1"/>
    <n v="90.192099999999996"/>
    <n v="93.867099999999994"/>
    <n v="0.96084890233106168"/>
    <n v="3"/>
  </r>
  <r>
    <x v="2"/>
    <n v="228.9143"/>
    <n v="231.76410000000001"/>
    <n v="0.98770387648475322"/>
    <n v="3"/>
  </r>
  <r>
    <x v="3"/>
    <n v="0.50949999999999995"/>
    <n v="0.50949999999999995"/>
    <n v="1"/>
    <n v="3"/>
  </r>
  <r>
    <x v="4"/>
    <n v="1313.7524000000001"/>
    <n v="1355.748"/>
    <n v="0.96902403691541494"/>
    <n v="3"/>
  </r>
  <r>
    <x v="0"/>
    <n v="322.5317"/>
    <n v="374.56490000000002"/>
    <n v="0.86108361995477956"/>
    <n v="1.5"/>
  </r>
  <r>
    <x v="2"/>
    <n v="104.0565"/>
    <n v="104.0565"/>
    <n v="1"/>
    <n v="3"/>
  </r>
  <r>
    <x v="3"/>
    <n v="0.2883"/>
    <n v="0.2883"/>
    <n v="1"/>
    <n v="3"/>
  </r>
  <r>
    <x v="4"/>
    <n v="426.87650000000002"/>
    <n v="478.90969999999999"/>
    <n v="0.89135070765950242"/>
    <n v="1.5"/>
  </r>
  <r>
    <x v="0"/>
    <n v="96.182699999999997"/>
    <n v="98.327600000000004"/>
    <n v="0.97818618577083138"/>
    <n v="3"/>
  </r>
  <r>
    <x v="1"/>
    <n v="105.39530000000001"/>
    <n v="113.66670000000001"/>
    <n v="0.92723110638383976"/>
    <n v="3"/>
  </r>
  <r>
    <x v="2"/>
    <n v="151.251"/>
    <n v="151.62860000000001"/>
    <n v="0.99750970463355859"/>
    <n v="3"/>
  </r>
  <r>
    <x v="3"/>
    <n v="1.3496999999999999"/>
    <n v="1.3496999999999999"/>
    <n v="1"/>
    <n v="3"/>
  </r>
  <r>
    <x v="4"/>
    <n v="354.17869999999999"/>
    <n v="364.9726"/>
    <n v="0.97042545111605638"/>
    <n v="3"/>
  </r>
  <r>
    <x v="0"/>
    <n v="267.6019"/>
    <n v="274.40359999999998"/>
    <n v="0.97521278875350037"/>
    <n v="3"/>
  </r>
  <r>
    <x v="2"/>
    <n v="22.8"/>
    <n v="24.3"/>
    <n v="0.93827160493827155"/>
    <n v="3"/>
  </r>
  <r>
    <x v="4"/>
    <n v="290.40190000000001"/>
    <n v="298.70359999999999"/>
    <n v="0.97220756629648919"/>
    <n v="3"/>
  </r>
  <r>
    <x v="0"/>
    <n v="199.94149999999999"/>
    <n v="205.8793"/>
    <n v="0.97115882946949983"/>
    <n v="3"/>
  </r>
  <r>
    <x v="2"/>
    <n v="28.6"/>
    <n v="28.6"/>
    <n v="1"/>
    <n v="3"/>
  </r>
  <r>
    <x v="3"/>
    <n v="0.4778"/>
    <n v="0.4778"/>
    <n v="1"/>
    <n v="3"/>
  </r>
  <r>
    <x v="4"/>
    <n v="229.01929999999999"/>
    <n v="234.9571"/>
    <n v="0.97472815250103106"/>
    <n v="3"/>
  </r>
  <r>
    <x v="0"/>
    <n v="186.7097"/>
    <n v="190.6703"/>
    <n v="0.9792280182073454"/>
    <n v="3"/>
  </r>
  <r>
    <x v="2"/>
    <n v="5.2"/>
    <n v="6.2"/>
    <n v="0.83870967741935487"/>
    <n v="1.5"/>
  </r>
  <r>
    <x v="3"/>
    <n v="0.26100000000000001"/>
    <n v="0.26100000000000001"/>
    <n v="1"/>
    <n v="3"/>
  </r>
  <r>
    <x v="4"/>
    <n v="192.17070000000001"/>
    <n v="197.13130000000001"/>
    <n v="0.97483606104154952"/>
    <n v="3"/>
  </r>
  <r>
    <x v="0"/>
    <n v="71.896900000000002"/>
    <n v="74.157899999999998"/>
    <n v="0.96951100287359804"/>
    <n v="3"/>
  </r>
  <r>
    <x v="2"/>
    <n v="11.4"/>
    <n v="11.4"/>
    <n v="1"/>
    <n v="3"/>
  </r>
  <r>
    <x v="4"/>
    <n v="83.296899999999994"/>
    <n v="85.557900000000004"/>
    <n v="0.97357345142879848"/>
    <n v="3"/>
  </r>
  <r>
    <x v="0"/>
    <n v="35.693899999999999"/>
    <n v="39.7318"/>
    <n v="0.89837107807851646"/>
    <n v="1.5"/>
  </r>
  <r>
    <x v="2"/>
    <n v="7.7"/>
    <n v="8.1999999999999993"/>
    <n v="0.93902439024390238"/>
    <n v="3"/>
  </r>
  <r>
    <x v="3"/>
    <n v="1.5262"/>
    <n v="1.5262"/>
    <n v="1"/>
    <n v="3"/>
  </r>
  <r>
    <x v="4"/>
    <n v="44.920099999999998"/>
    <n v="49.457999999999998"/>
    <n v="0.90824740183590114"/>
    <n v="3"/>
  </r>
  <r>
    <x v="0"/>
    <n v="55.6554"/>
    <n v="58.699599999999997"/>
    <n v="0.94813933996143074"/>
    <n v="3"/>
  </r>
  <r>
    <x v="2"/>
    <n v="37.9"/>
    <n v="38.5"/>
    <n v="0.98441558441558441"/>
    <n v="3"/>
  </r>
  <r>
    <x v="3"/>
    <n v="1.2537"/>
    <n v="1.2537"/>
    <n v="1"/>
    <n v="3"/>
  </r>
  <r>
    <x v="4"/>
    <n v="94.809100000000001"/>
    <n v="98.453299999999999"/>
    <n v="0.96298549667710476"/>
    <n v="3"/>
  </r>
  <r>
    <x v="0"/>
    <n v="59.731900000000003"/>
    <n v="60.799399999999999"/>
    <n v="0.98244226094336462"/>
    <n v="3"/>
  </r>
  <r>
    <x v="4"/>
    <n v="59.731900000000003"/>
    <n v="60.799399999999999"/>
    <n v="0.98244226094336462"/>
    <n v="3"/>
  </r>
  <r>
    <x v="0"/>
    <n v="25.0243"/>
    <n v="26.3856"/>
    <n v="0.94840746467770298"/>
    <n v="3"/>
  </r>
  <r>
    <x v="4"/>
    <n v="25.0243"/>
    <n v="26.3856"/>
    <n v="0.94840746467770298"/>
    <n v="3"/>
  </r>
  <r>
    <x v="0"/>
    <n v="998.43820000000005"/>
    <n v="1029.0551"/>
    <n v="0.97024756011607149"/>
    <n v="3"/>
  </r>
  <r>
    <x v="1"/>
    <n v="105.39530000000001"/>
    <n v="113.66670000000001"/>
    <n v="0.92723110638383976"/>
    <n v="3"/>
  </r>
  <r>
    <x v="2"/>
    <n v="264.851"/>
    <n v="268.82859999999999"/>
    <n v="0.98520395523392967"/>
    <n v="3"/>
  </r>
  <r>
    <x v="3"/>
    <n v="4.8684000000000003"/>
    <n v="4.8684000000000003"/>
    <n v="1"/>
    <n v="3"/>
  </r>
  <r>
    <x v="4"/>
    <n v="1373.5528999999999"/>
    <n v="1416.4187999999999"/>
    <n v="0.96973642258913817"/>
    <n v="3"/>
  </r>
  <r>
    <x v="0"/>
    <n v="105.32080000000001"/>
    <n v="108.4109"/>
    <n v="0.9714964085714628"/>
    <n v="3"/>
  </r>
  <r>
    <x v="1"/>
    <n v="327.05799999999999"/>
    <n v="340.71820000000002"/>
    <n v="0.95990763041129001"/>
    <n v="3"/>
  </r>
  <r>
    <x v="2"/>
    <n v="27.4986"/>
    <n v="30.065000000000001"/>
    <n v="0.91463828371860967"/>
    <n v="3"/>
  </r>
  <r>
    <x v="4"/>
    <n v="459.87740000000002"/>
    <n v="479.19409999999999"/>
    <n v="0.9596891948377495"/>
    <n v="3"/>
  </r>
  <r>
    <x v="0"/>
    <n v="105.8867"/>
    <n v="109.899"/>
    <n v="0.96349102357619265"/>
    <n v="3"/>
  </r>
  <r>
    <x v="4"/>
    <n v="105.8867"/>
    <n v="109.899"/>
    <n v="0.96349102357619265"/>
    <n v="3"/>
  </r>
  <r>
    <x v="0"/>
    <n v="100.1164"/>
    <n v="102.4404"/>
    <n v="0.97731363797876614"/>
    <n v="3"/>
  </r>
  <r>
    <x v="2"/>
    <n v="28"/>
    <n v="28"/>
    <n v="1"/>
    <n v="3"/>
  </r>
  <r>
    <x v="4"/>
    <n v="128.1164"/>
    <n v="130.44040000000001"/>
    <n v="0.98218343396677721"/>
    <n v="3"/>
  </r>
  <r>
    <x v="0"/>
    <n v="302.51530000000002"/>
    <n v="306.38029999999998"/>
    <n v="0.98738495915044144"/>
    <n v="3"/>
  </r>
  <r>
    <x v="2"/>
    <n v="33.799999999999997"/>
    <n v="33.799999999999997"/>
    <n v="1"/>
    <n v="3"/>
  </r>
  <r>
    <x v="3"/>
    <n v="0.47339999999999999"/>
    <n v="0.47339999999999999"/>
    <n v="1"/>
    <n v="3"/>
  </r>
  <r>
    <x v="4"/>
    <n v="336.78870000000001"/>
    <n v="340.65370000000001"/>
    <n v="0.98865416697367448"/>
    <n v="3"/>
  </r>
  <r>
    <x v="0"/>
    <n v="74.760499999999993"/>
    <n v="81.056299999999993"/>
    <n v="0.92232806086633612"/>
    <n v="3"/>
  </r>
  <r>
    <x v="2"/>
    <n v="9.6"/>
    <n v="9.6"/>
    <n v="1"/>
    <n v="3"/>
  </r>
  <r>
    <x v="4"/>
    <n v="84.360500000000002"/>
    <n v="90.656300000000002"/>
    <n v="0.93055308897451139"/>
    <n v="3"/>
  </r>
  <r>
    <x v="0"/>
    <n v="78.343199999999996"/>
    <n v="79.113399999999999"/>
    <n v="0.99026460751276013"/>
    <n v="3"/>
  </r>
  <r>
    <x v="4"/>
    <n v="78.343199999999996"/>
    <n v="79.113399999999999"/>
    <n v="0.99026460751276013"/>
    <n v="3"/>
  </r>
  <r>
    <x v="0"/>
    <n v="376.42169999999999"/>
    <n v="392.7002"/>
    <n v="0.95854725818830755"/>
    <n v="3"/>
  </r>
  <r>
    <x v="2"/>
    <n v="1.5"/>
    <n v="1.5"/>
    <n v="1"/>
    <n v="3"/>
  </r>
  <r>
    <x v="3"/>
    <n v="2.4171"/>
    <n v="2.4194"/>
    <n v="0.9990493510787799"/>
    <n v="3"/>
  </r>
  <r>
    <x v="4"/>
    <n v="380.33879999999999"/>
    <n v="396.61959999999999"/>
    <n v="0.95895109570984394"/>
    <n v="3"/>
  </r>
  <r>
    <x v="0"/>
    <n v="160.06479999999999"/>
    <n v="170.87020000000001"/>
    <n v="0.93676252500436008"/>
    <n v="3"/>
  </r>
  <r>
    <x v="2"/>
    <n v="36.4"/>
    <n v="37.4"/>
    <n v="0.9732620320855615"/>
    <n v="3"/>
  </r>
  <r>
    <x v="3"/>
    <n v="0.28399999999999997"/>
    <n v="0.28399999999999997"/>
    <n v="1"/>
    <n v="3"/>
  </r>
  <r>
    <x v="4"/>
    <n v="196.74879999999999"/>
    <n v="208.55420000000001"/>
    <n v="0.94339409132014607"/>
    <n v="3"/>
  </r>
  <r>
    <x v="0"/>
    <n v="9.1597000000000008"/>
    <n v="9.1576000000000004"/>
    <n v="1"/>
    <n v="3"/>
  </r>
  <r>
    <x v="4"/>
    <n v="9.1597000000000008"/>
    <n v="9.1576000000000004"/>
    <n v="1"/>
    <n v="3"/>
  </r>
  <r>
    <x v="0"/>
    <n v="1312.5890999999999"/>
    <n v="1360.0282999999999"/>
    <n v="0.96511896112750006"/>
    <n v="3"/>
  </r>
  <r>
    <x v="1"/>
    <n v="327.05799999999999"/>
    <n v="340.71820000000002"/>
    <n v="0.95990763041129001"/>
    <n v="3"/>
  </r>
  <r>
    <x v="2"/>
    <n v="136.79859999999999"/>
    <n v="140.36500000000001"/>
    <n v="0.97459195668435861"/>
    <n v="3"/>
  </r>
  <r>
    <x v="3"/>
    <n v="3.1745000000000001"/>
    <n v="3.1768000000000001"/>
    <n v="0.99927600100730296"/>
    <n v="3"/>
  </r>
  <r>
    <x v="4"/>
    <n v="1779.6202000000001"/>
    <n v="1844.2882999999999"/>
    <n v="0.96493601352890435"/>
    <n v="3"/>
  </r>
  <r>
    <x v="0"/>
    <n v="325.14659999999998"/>
    <n v="339.07850000000002"/>
    <n v="0.95891246422288645"/>
    <n v="3"/>
  </r>
  <r>
    <x v="1"/>
    <n v="618.93280000000004"/>
    <n v="659.60119999999995"/>
    <n v="0.93834395692427486"/>
    <n v="3"/>
  </r>
  <r>
    <x v="2"/>
    <n v="68.255799999999994"/>
    <n v="68.622399999999999"/>
    <n v="0.99465772109398676"/>
    <n v="3"/>
  </r>
  <r>
    <x v="3"/>
    <n v="1.5673999999999999"/>
    <n v="1.5673999999999999"/>
    <n v="1"/>
    <n v="3"/>
  </r>
  <r>
    <x v="4"/>
    <n v="1013.9026"/>
    <n v="1068.8695"/>
    <n v="0.94857473246266266"/>
    <n v="3"/>
  </r>
  <r>
    <x v="0"/>
    <n v="23.091100000000001"/>
    <n v="24.815300000000001"/>
    <n v="0.93051867194835447"/>
    <n v="3"/>
  </r>
  <r>
    <x v="2"/>
    <n v="9.2319999999999993"/>
    <n v="9.4207999999999998"/>
    <n v="0.97995923913043481"/>
    <n v="3"/>
  </r>
  <r>
    <x v="4"/>
    <n v="32.323099999999997"/>
    <n v="34.2361"/>
    <n v="0.94412330843758485"/>
    <n v="3"/>
  </r>
  <r>
    <x v="0"/>
    <n v="151.03960000000001"/>
    <n v="155.67420000000001"/>
    <n v="0.97022884973874923"/>
    <n v="3"/>
  </r>
  <r>
    <x v="4"/>
    <n v="151.03960000000001"/>
    <n v="155.67420000000001"/>
    <n v="0.97022884973874923"/>
    <n v="3"/>
  </r>
  <r>
    <x v="0"/>
    <n v="83.813999999999993"/>
    <n v="86.4178"/>
    <n v="0.96986963333942777"/>
    <n v="3"/>
  </r>
  <r>
    <x v="2"/>
    <n v="116.3776"/>
    <n v="118.1664"/>
    <n v="0.98486202507650233"/>
    <n v="3"/>
  </r>
  <r>
    <x v="4"/>
    <n v="200.19159999999999"/>
    <n v="204.58420000000001"/>
    <n v="0.97852913372586936"/>
    <n v="3"/>
  </r>
  <r>
    <x v="0"/>
    <n v="65.887500000000003"/>
    <n v="76.504199999999997"/>
    <n v="0.86122722674049268"/>
    <n v="1.5"/>
  </r>
  <r>
    <x v="2"/>
    <n v="10.655200000000001"/>
    <n v="10.655200000000001"/>
    <n v="1"/>
    <n v="3"/>
  </r>
  <r>
    <x v="3"/>
    <n v="0.47970000000000002"/>
    <n v="0.47970000000000002"/>
    <n v="1"/>
    <n v="3"/>
  </r>
  <r>
    <x v="4"/>
    <n v="77.022400000000005"/>
    <n v="87.639099999999999"/>
    <n v="0.87885886550637782"/>
    <n v="1.5"/>
  </r>
  <r>
    <x v="0"/>
    <n v="62.902900000000002"/>
    <n v="65.359700000000004"/>
    <n v="0.96241108817818932"/>
    <n v="3"/>
  </r>
  <r>
    <x v="3"/>
    <n v="0.25130000000000002"/>
    <n v="0.25130000000000002"/>
    <n v="1"/>
    <n v="3"/>
  </r>
  <r>
    <x v="4"/>
    <n v="63.154200000000003"/>
    <n v="65.611000000000004"/>
    <n v="0.96255505936504548"/>
    <n v="3"/>
  </r>
  <r>
    <x v="0"/>
    <n v="124.9971"/>
    <n v="126.4961"/>
    <n v="0.98814983228731956"/>
    <n v="3"/>
  </r>
  <r>
    <x v="4"/>
    <n v="124.9971"/>
    <n v="126.4961"/>
    <n v="0.98814983228731956"/>
    <n v="3"/>
  </r>
  <r>
    <x v="0"/>
    <n v="19.667899999999999"/>
    <n v="20.048300000000001"/>
    <n v="0.98102582263832838"/>
    <n v="3"/>
  </r>
  <r>
    <x v="4"/>
    <n v="19.667899999999999"/>
    <n v="20.048300000000001"/>
    <n v="0.98102582263832838"/>
    <n v="3"/>
  </r>
  <r>
    <x v="0"/>
    <n v="856.54669999999999"/>
    <n v="894.39409999999998"/>
    <n v="0.95768375484587831"/>
    <n v="3"/>
  </r>
  <r>
    <x v="1"/>
    <n v="618.93280000000004"/>
    <n v="659.60119999999995"/>
    <n v="0.93834395692427486"/>
    <n v="3"/>
  </r>
  <r>
    <x v="2"/>
    <n v="204.5206"/>
    <n v="206.8648"/>
    <n v="0.9886679609097343"/>
    <n v="3"/>
  </r>
  <r>
    <x v="3"/>
    <n v="2.2984"/>
    <n v="2.2984"/>
    <n v="1"/>
    <n v="3"/>
  </r>
  <r>
    <x v="4"/>
    <n v="1682.2985000000001"/>
    <n v="1763.1585"/>
    <n v="0.95413912022089908"/>
    <n v="3"/>
  </r>
  <r>
    <x v="0"/>
    <n v="110.1729"/>
    <n v="112.50190000000001"/>
    <n v="0.97929812740940381"/>
    <n v="3"/>
  </r>
  <r>
    <x v="1"/>
    <n v="118.7955"/>
    <n v="122.6896"/>
    <n v="0.96826055346174411"/>
    <n v="3"/>
  </r>
  <r>
    <x v="2"/>
    <n v="53.480800000000002"/>
    <n v="57.502200000000002"/>
    <n v="0.93006528445868153"/>
    <n v="3"/>
  </r>
  <r>
    <x v="3"/>
    <n v="0.1888"/>
    <n v="0.1888"/>
    <n v="1"/>
    <n v="3"/>
  </r>
  <r>
    <x v="4"/>
    <n v="282.63799999999998"/>
    <n v="292.88249999999999"/>
    <n v="0.96502180908726198"/>
    <n v="3"/>
  </r>
  <r>
    <x v="0"/>
    <n v="79.158000000000001"/>
    <n v="80.633499999999998"/>
    <n v="0.98170115398686653"/>
    <n v="3"/>
  </r>
  <r>
    <x v="2"/>
    <n v="1.5"/>
    <n v="1.5"/>
    <n v="1"/>
    <n v="3"/>
  </r>
  <r>
    <x v="3"/>
    <n v="0.43469999999999998"/>
    <n v="0.42470000000000002"/>
    <n v="1"/>
    <n v="3"/>
  </r>
  <r>
    <x v="4"/>
    <n v="81.092699999999994"/>
    <n v="82.558199999999999"/>
    <n v="0.98224888624025231"/>
    <n v="3"/>
  </r>
  <r>
    <x v="0"/>
    <n v="25.6693"/>
    <n v="26.355499999999999"/>
    <n v="0.97396368879361039"/>
    <n v="3"/>
  </r>
  <r>
    <x v="4"/>
    <n v="25.6693"/>
    <n v="26.355499999999999"/>
    <n v="0.97396368879361039"/>
    <n v="3"/>
  </r>
  <r>
    <x v="0"/>
    <n v="215.00020000000001"/>
    <n v="219.49090000000001"/>
    <n v="0.9795403818563776"/>
    <n v="3"/>
  </r>
  <r>
    <x v="1"/>
    <n v="118.7955"/>
    <n v="122.6896"/>
    <n v="0.96826055346174411"/>
    <n v="3"/>
  </r>
  <r>
    <x v="2"/>
    <n v="54.980800000000002"/>
    <n v="59.002200000000002"/>
    <n v="0.93184321940537806"/>
    <n v="3"/>
  </r>
  <r>
    <x v="3"/>
    <n v="0.62350000000000005"/>
    <n v="0.61350000000000005"/>
    <n v="1"/>
    <n v="3"/>
  </r>
  <r>
    <x v="4"/>
    <n v="389.4"/>
    <n v="401.7962"/>
    <n v="0.96914804072313276"/>
    <n v="3"/>
  </r>
  <r>
    <x v="0"/>
    <n v="396.03410000000002"/>
    <n v="418.82760000000002"/>
    <n v="0.94557784635014508"/>
    <n v="3"/>
  </r>
  <r>
    <x v="1"/>
    <n v="31.674499999999998"/>
    <n v="31.950700000000001"/>
    <n v="0.99135543196236697"/>
    <n v="3"/>
  </r>
  <r>
    <x v="2"/>
    <n v="158.6378"/>
    <n v="168.11519999999999"/>
    <n v="0.94362556151971977"/>
    <n v="3"/>
  </r>
  <r>
    <x v="3"/>
    <n v="0.28949999999999998"/>
    <n v="0.28949999999999998"/>
    <n v="1"/>
    <n v="3"/>
  </r>
  <r>
    <x v="4"/>
    <n v="586.63589999999999"/>
    <n v="619.18299999999999"/>
    <n v="0.9474354108559182"/>
    <n v="3"/>
  </r>
  <r>
    <x v="0"/>
    <n v="47.968400000000003"/>
    <n v="48.886200000000002"/>
    <n v="0.98122578560002616"/>
    <n v="3"/>
  </r>
  <r>
    <x v="2"/>
    <n v="63.5274"/>
    <n v="64.082800000000006"/>
    <n v="0.99133308781763596"/>
    <n v="3"/>
  </r>
  <r>
    <x v="4"/>
    <n v="111.4958"/>
    <n v="112.96899999999999"/>
    <n v="0.98695925430870413"/>
    <n v="3"/>
  </r>
  <r>
    <x v="0"/>
    <n v="30.536799999999999"/>
    <n v="30.919899999999998"/>
    <n v="0.98760992111876167"/>
    <n v="3"/>
  </r>
  <r>
    <x v="4"/>
    <n v="30.536799999999999"/>
    <n v="30.919899999999998"/>
    <n v="0.98760992111876167"/>
    <n v="3"/>
  </r>
  <r>
    <x v="0"/>
    <n v="67.610900000000001"/>
    <n v="68.586299999999994"/>
    <n v="0.98577850095427222"/>
    <n v="3"/>
  </r>
  <r>
    <x v="4"/>
    <n v="67.610900000000001"/>
    <n v="68.586299999999994"/>
    <n v="0.98577850095427222"/>
    <n v="3"/>
  </r>
  <r>
    <x v="0"/>
    <n v="11.568899999999999"/>
    <n v="11.565099999999999"/>
    <n v="1"/>
    <n v="3"/>
  </r>
  <r>
    <x v="4"/>
    <n v="11.568899999999999"/>
    <n v="11.565099999999999"/>
    <n v="1"/>
    <n v="3"/>
  </r>
  <r>
    <x v="0"/>
    <n v="553.71910000000003"/>
    <n v="578.78510000000006"/>
    <n v="0.95669204338536018"/>
    <n v="3"/>
  </r>
  <r>
    <x v="1"/>
    <n v="31.674499999999998"/>
    <n v="31.950700000000001"/>
    <n v="0.99135543196236697"/>
    <n v="3"/>
  </r>
  <r>
    <x v="2"/>
    <n v="222.1652"/>
    <n v="232.19800000000001"/>
    <n v="0.95679204816578955"/>
    <n v="3"/>
  </r>
  <r>
    <x v="3"/>
    <n v="0.28949999999999998"/>
    <n v="0.28949999999999998"/>
    <n v="1"/>
    <n v="3"/>
  </r>
  <r>
    <x v="4"/>
    <n v="807.84829999999999"/>
    <n v="843.22329999999999"/>
    <n v="0.95804788601073998"/>
    <n v="3"/>
  </r>
  <r>
    <x v="0"/>
    <n v="169.36500000000001"/>
    <n v="177.17529999999999"/>
    <n v="0.95591767023958762"/>
    <n v="3"/>
  </r>
  <r>
    <x v="2"/>
    <n v="142.1823"/>
    <n v="145.1823"/>
    <n v="0.97933632405603166"/>
    <n v="3"/>
  </r>
  <r>
    <x v="3"/>
    <n v="3.8807999999999998"/>
    <n v="3.8807999999999998"/>
    <n v="1"/>
    <n v="3"/>
  </r>
  <r>
    <x v="4"/>
    <n v="315.42809999999997"/>
    <n v="326.23840000000001"/>
    <n v="0.96686380266700667"/>
    <n v="3"/>
  </r>
  <r>
    <x v="0"/>
    <n v="53.4621"/>
    <n v="53.4651"/>
    <n v="0.99994388863015315"/>
    <n v="3"/>
  </r>
  <r>
    <x v="1"/>
    <n v="39.865000000000002"/>
    <n v="41.7117"/>
    <n v="0.95572705020413939"/>
    <n v="3"/>
  </r>
  <r>
    <x v="2"/>
    <n v="6"/>
    <n v="6"/>
    <n v="1"/>
    <n v="3"/>
  </r>
  <r>
    <x v="3"/>
    <n v="0.45269999999999999"/>
    <n v="0.45269999999999999"/>
    <n v="1"/>
    <n v="3"/>
  </r>
  <r>
    <x v="4"/>
    <n v="99.779799999999994"/>
    <n v="101.62949999999999"/>
    <n v="0.98179957591053779"/>
    <n v="3"/>
  </r>
  <r>
    <x v="0"/>
    <n v="31.348099999999999"/>
    <n v="32.778100000000002"/>
    <n v="0.95637331022847571"/>
    <n v="3"/>
  </r>
  <r>
    <x v="2"/>
    <n v="89.383799999999994"/>
    <n v="89.9392"/>
    <n v="0.99382471714224718"/>
    <n v="3"/>
  </r>
  <r>
    <x v="4"/>
    <n v="120.7319"/>
    <n v="122.71729999999999"/>
    <n v="0.9838213520017145"/>
    <n v="3"/>
  </r>
  <r>
    <x v="0"/>
    <n v="84.810199999999995"/>
    <n v="86.243200000000002"/>
    <n v="0.98338419724685544"/>
    <n v="3"/>
  </r>
  <r>
    <x v="1"/>
    <n v="39.865000000000002"/>
    <n v="41.7117"/>
    <n v="0.95572705020413939"/>
    <n v="3"/>
  </r>
  <r>
    <x v="2"/>
    <n v="95.383799999999994"/>
    <n v="95.9392"/>
    <n v="0.99421091691404562"/>
    <n v="3"/>
  </r>
  <r>
    <x v="3"/>
    <n v="0.45269999999999999"/>
    <n v="0.45269999999999999"/>
    <n v="1"/>
    <n v="3"/>
  </r>
  <r>
    <x v="4"/>
    <n v="220.51169999999999"/>
    <n v="224.3468"/>
    <n v="0.98290548383128262"/>
    <n v="3"/>
  </r>
  <r>
    <x v="0"/>
    <n v="5998.4757"/>
    <n v="6247.6979000000001"/>
    <n v="0.9601097549867128"/>
    <n v="3"/>
  </r>
  <r>
    <x v="1"/>
    <n v="1406.5768"/>
    <n v="1479.5341000000001"/>
    <n v="0.95068900405877765"/>
    <n v="3"/>
  </r>
  <r>
    <x v="2"/>
    <n v="1559.4697000000001"/>
    <n v="1589.8172999999999"/>
    <n v="0.98091126571587817"/>
    <n v="3"/>
  </r>
  <r>
    <x v="3"/>
    <n v="17.3811"/>
    <n v="17.3734"/>
    <n v="1"/>
    <n v="3"/>
  </r>
  <r>
    <x v="4"/>
    <n v="8981.9032999999999"/>
    <n v="9334.4226999999992"/>
    <n v="0.96223447219719327"/>
    <n v="3"/>
  </r>
  <r>
    <x v="0"/>
    <n v="80.1083"/>
    <n v="82.023700000000005"/>
    <n v="0.97664821265073387"/>
    <n v="3"/>
  </r>
  <r>
    <x v="1"/>
    <n v="41.4"/>
    <n v="42.785699999999999"/>
    <n v="0.96761301088915219"/>
    <n v="3"/>
  </r>
  <r>
    <x v="3"/>
    <n v="1.1702999999999999"/>
    <n v="1.1693"/>
    <n v="1"/>
    <n v="3"/>
  </r>
  <r>
    <x v="4"/>
    <n v="122.6786"/>
    <n v="125.9787"/>
    <n v="0.97380430183832667"/>
    <n v="3"/>
  </r>
  <r>
    <x v="0"/>
    <n v="423.4237"/>
    <n v="474.54469999999998"/>
    <n v="0.8922735835001423"/>
    <n v="1.5"/>
  </r>
  <r>
    <x v="2"/>
    <n v="19.821200000000001"/>
    <n v="22.2562"/>
    <n v="0.89059228439715676"/>
    <n v="1.5"/>
  </r>
  <r>
    <x v="3"/>
    <n v="1.3099000000000001"/>
    <n v="1.5544"/>
    <n v="0.84270458054554809"/>
    <n v="1.5"/>
  </r>
  <r>
    <x v="4"/>
    <n v="444.5548"/>
    <n v="498.3553"/>
    <n v="0.89204388916903266"/>
    <n v="1.5"/>
  </r>
  <r>
    <x v="0"/>
    <n v="98.120900000000006"/>
    <n v="112.58159999999999"/>
    <n v="0.87155361089201078"/>
    <n v="1.5"/>
  </r>
  <r>
    <x v="3"/>
    <n v="1.4317"/>
    <n v="1.7221"/>
    <n v="0.83136867777713253"/>
    <n v="1.5"/>
  </r>
  <r>
    <x v="4"/>
    <n v="99.552599999999998"/>
    <n v="114.30370000000001"/>
    <n v="0.87094818452945966"/>
    <n v="1.5"/>
  </r>
  <r>
    <x v="0"/>
    <n v="20.327100000000002"/>
    <n v="24.605499999999999"/>
    <n v="0.82612017638332891"/>
    <n v="1.5"/>
  </r>
  <r>
    <x v="1"/>
    <n v="182.4853"/>
    <n v="196.6591"/>
    <n v="0.92792705753255256"/>
    <n v="3"/>
  </r>
  <r>
    <x v="2"/>
    <n v="140.58590000000001"/>
    <n v="152.58590000000001"/>
    <n v="0.92135577402630253"/>
    <n v="3"/>
  </r>
  <r>
    <x v="3"/>
    <n v="2.3616999999999999"/>
    <n v="2.3616999999999999"/>
    <n v="1"/>
    <n v="3"/>
  </r>
  <r>
    <x v="4"/>
    <n v="345.76"/>
    <n v="376.2122"/>
    <n v="0.91905578819612976"/>
    <n v="3"/>
  </r>
  <r>
    <x v="0"/>
    <n v="50.511800000000001"/>
    <n v="56.2121"/>
    <n v="0.89859300755531279"/>
    <n v="1.5"/>
  </r>
  <r>
    <x v="3"/>
    <n v="0.85060000000000002"/>
    <n v="0.85060000000000002"/>
    <n v="1"/>
    <n v="3"/>
  </r>
  <r>
    <x v="4"/>
    <n v="51.362400000000001"/>
    <n v="57.0627"/>
    <n v="0.9001046217581713"/>
    <n v="3"/>
  </r>
  <r>
    <x v="0"/>
    <n v="84.694500000000005"/>
    <n v="92.337299999999999"/>
    <n v="0.91722954862227946"/>
    <n v="3"/>
  </r>
  <r>
    <x v="3"/>
    <n v="0.60240000000000005"/>
    <n v="0.60240000000000005"/>
    <n v="1"/>
    <n v="3"/>
  </r>
  <r>
    <x v="4"/>
    <n v="85.296899999999994"/>
    <n v="92.939700000000002"/>
    <n v="0.91776603539714463"/>
    <n v="3"/>
  </r>
  <r>
    <x v="0"/>
    <n v="70.483500000000006"/>
    <n v="74.514200000000002"/>
    <n v="0.94590695464757057"/>
    <n v="3"/>
  </r>
  <r>
    <x v="3"/>
    <n v="1.0581"/>
    <n v="1.0581"/>
    <n v="1"/>
    <n v="3"/>
  </r>
  <r>
    <x v="4"/>
    <n v="71.541600000000003"/>
    <n v="75.572299999999998"/>
    <n v="0.94666432012787749"/>
    <n v="3"/>
  </r>
  <r>
    <x v="0"/>
    <n v="9.6579999999999995"/>
    <n v="10.5459"/>
    <n v="0.91580614267155958"/>
    <n v="3"/>
  </r>
  <r>
    <x v="4"/>
    <n v="9.6579999999999995"/>
    <n v="10.5459"/>
    <n v="0.91580614267155958"/>
    <n v="3"/>
  </r>
  <r>
    <x v="0"/>
    <n v="22.397600000000001"/>
    <n v="23.054099999999998"/>
    <n v="0.9715235034115407"/>
    <n v="3"/>
  </r>
  <r>
    <x v="3"/>
    <n v="1.3293999999999999"/>
    <n v="1.3293999999999999"/>
    <n v="1"/>
    <n v="3"/>
  </r>
  <r>
    <x v="4"/>
    <n v="23.727"/>
    <n v="24.383500000000002"/>
    <n v="0.97307605552935383"/>
    <n v="3"/>
  </r>
  <r>
    <x v="0"/>
    <n v="25.028500000000001"/>
    <n v="31.937200000000001"/>
    <n v="0.78367859424119835"/>
    <n v="0"/>
  </r>
  <r>
    <x v="4"/>
    <n v="25.028500000000001"/>
    <n v="31.937200000000001"/>
    <n v="0.78367859424119835"/>
    <n v="0"/>
  </r>
  <r>
    <x v="0"/>
    <n v="41"/>
    <n v="49.213299999999997"/>
    <n v="0.83310812321059546"/>
    <n v="1.5"/>
  </r>
  <r>
    <x v="4"/>
    <n v="41"/>
    <n v="49.213299999999997"/>
    <n v="0.83310812321059546"/>
    <n v="1.5"/>
  </r>
  <r>
    <x v="0"/>
    <n v="13.795400000000001"/>
    <n v="18.780200000000001"/>
    <n v="0.73457151681025756"/>
    <n v="0"/>
  </r>
  <r>
    <x v="3"/>
    <n v="1.919"/>
    <n v="1.919"/>
    <n v="1"/>
    <n v="3"/>
  </r>
  <r>
    <x v="4"/>
    <n v="15.714399999999999"/>
    <n v="20.699200000000001"/>
    <n v="0.75917909870912881"/>
    <n v="0"/>
  </r>
  <r>
    <x v="0"/>
    <n v="28.002700000000001"/>
    <n v="35.161799999999999"/>
    <n v="0.79639552013833192"/>
    <n v="0"/>
  </r>
  <r>
    <x v="4"/>
    <n v="28.002700000000001"/>
    <n v="35.161799999999999"/>
    <n v="0.79639552013833192"/>
    <n v="0"/>
  </r>
  <r>
    <x v="0"/>
    <n v="365.89909999999998"/>
    <n v="416.36160000000001"/>
    <n v="0.87880126313281537"/>
    <n v="1.5"/>
  </r>
  <r>
    <x v="1"/>
    <n v="182.4853"/>
    <n v="196.6591"/>
    <n v="0.92792705753255256"/>
    <n v="3"/>
  </r>
  <r>
    <x v="2"/>
    <n v="140.58590000000001"/>
    <n v="152.58590000000001"/>
    <n v="0.92135577402630253"/>
    <n v="3"/>
  </r>
  <r>
    <x v="3"/>
    <n v="8.1212"/>
    <n v="8.1212"/>
    <n v="1"/>
    <n v="3"/>
  </r>
  <r>
    <x v="4"/>
    <n v="697.0915"/>
    <n v="773.7278"/>
    <n v="0.90095185929728772"/>
    <n v="3"/>
  </r>
  <r>
    <x v="0"/>
    <n v="9.7624999999999993"/>
    <n v="9.7606999999999999"/>
    <n v="1"/>
    <n v="3"/>
  </r>
  <r>
    <x v="1"/>
    <n v="84.9011"/>
    <n v="90.861500000000007"/>
    <n v="0.93440125905911742"/>
    <n v="3"/>
  </r>
  <r>
    <x v="3"/>
    <n v="2.0419"/>
    <n v="2.0419"/>
    <n v="1"/>
    <n v="3"/>
  </r>
  <r>
    <x v="4"/>
    <n v="96.705500000000001"/>
    <n v="102.6641"/>
    <n v="0.94196023731762124"/>
    <n v="3"/>
  </r>
  <r>
    <x v="0"/>
    <n v="25.6493"/>
    <n v="27.591200000000001"/>
    <n v="0.92961886398561855"/>
    <n v="3"/>
  </r>
  <r>
    <x v="3"/>
    <n v="0.41210000000000002"/>
    <n v="0.41210000000000002"/>
    <n v="1"/>
    <n v="3"/>
  </r>
  <r>
    <x v="4"/>
    <n v="26.061399999999999"/>
    <n v="28.003299999999999"/>
    <n v="0.93065460142197531"/>
    <n v="3"/>
  </r>
  <r>
    <x v="0"/>
    <n v="65.466399999999993"/>
    <n v="82.196700000000007"/>
    <n v="0.79646019852378502"/>
    <n v="0"/>
  </r>
  <r>
    <x v="4"/>
    <n v="65.466399999999993"/>
    <n v="82.196700000000007"/>
    <n v="0.79646019852378502"/>
    <n v="0"/>
  </r>
  <r>
    <x v="0"/>
    <n v="103.9102"/>
    <n v="114.2179"/>
    <n v="0.90975407532444563"/>
    <n v="3"/>
  </r>
  <r>
    <x v="3"/>
    <n v="1.889"/>
    <n v="1.8879999999999999"/>
    <n v="1"/>
    <n v="3"/>
  </r>
  <r>
    <x v="4"/>
    <n v="105.7992"/>
    <n v="116.10590000000001"/>
    <n v="0.91123017865586509"/>
    <n v="3"/>
  </r>
  <r>
    <x v="0"/>
    <n v="17.2805"/>
    <n v="18.365600000000001"/>
    <n v="0.94091671385634013"/>
    <n v="3"/>
  </r>
  <r>
    <x v="4"/>
    <n v="17.2805"/>
    <n v="18.365600000000001"/>
    <n v="0.94091671385634013"/>
    <n v="3"/>
  </r>
  <r>
    <x v="0"/>
    <n v="22.244499999999999"/>
    <n v="22.827300000000001"/>
    <n v="0.97446916630525726"/>
    <n v="3"/>
  </r>
  <r>
    <x v="4"/>
    <n v="22.244499999999999"/>
    <n v="22.827300000000001"/>
    <n v="0.97446916630525726"/>
    <n v="3"/>
  </r>
  <r>
    <x v="0"/>
    <n v="113.1904"/>
    <n v="123.3386"/>
    <n v="0.91772081084105062"/>
    <n v="3"/>
  </r>
  <r>
    <x v="3"/>
    <n v="2.0550000000000002"/>
    <n v="2.0598999999999998"/>
    <n v="0.99762124374969663"/>
    <n v="3"/>
  </r>
  <r>
    <x v="4"/>
    <n v="115.2454"/>
    <n v="125.3985"/>
    <n v="0.91903332177019659"/>
    <n v="3"/>
  </r>
  <r>
    <x v="0"/>
    <n v="47.198500000000003"/>
    <n v="49.222999999999999"/>
    <n v="0.958870853056498"/>
    <n v="3"/>
  </r>
  <r>
    <x v="3"/>
    <n v="0.67779999999999996"/>
    <n v="0.67930000000000001"/>
    <n v="0.99779184454585601"/>
    <n v="3"/>
  </r>
  <r>
    <x v="4"/>
    <n v="47.876300000000001"/>
    <n v="49.902299999999997"/>
    <n v="0.95940066890704434"/>
    <n v="3"/>
  </r>
  <r>
    <x v="0"/>
    <n v="3.4394999999999998"/>
    <n v="4.3804999999999996"/>
    <n v="0.78518433968725032"/>
    <n v="0"/>
  </r>
  <r>
    <x v="4"/>
    <n v="3.4394999999999998"/>
    <n v="4.3804999999999996"/>
    <n v="0.78518433968725032"/>
    <n v="0"/>
  </r>
  <r>
    <x v="0"/>
    <n v="408.14179999999999"/>
    <n v="451.9015"/>
    <n v="0.90316540219494734"/>
    <n v="3"/>
  </r>
  <r>
    <x v="1"/>
    <n v="84.9011"/>
    <n v="90.861500000000007"/>
    <n v="0.93440125905911742"/>
    <n v="3"/>
  </r>
  <r>
    <x v="3"/>
    <n v="7.0758000000000001"/>
    <n v="7.0811999999999999"/>
    <n v="0.99923741738688354"/>
    <n v="3"/>
  </r>
  <r>
    <x v="4"/>
    <n v="500.11869999999999"/>
    <n v="549.8442"/>
    <n v="0.90956438205586232"/>
    <n v="3"/>
  </r>
  <r>
    <x v="0"/>
    <n v="138.61019999999999"/>
    <n v="148.03649999999999"/>
    <n v="0.93632448754192377"/>
    <n v="3"/>
  </r>
  <r>
    <x v="1"/>
    <n v="261.40589999999997"/>
    <n v="295.90010000000001"/>
    <n v="0.8834261968819882"/>
    <n v="1.5"/>
  </r>
  <r>
    <x v="3"/>
    <n v="4.5997000000000003"/>
    <n v="5.5694999999999997"/>
    <n v="0.82587305862285665"/>
    <n v="1.5"/>
  </r>
  <r>
    <x v="4"/>
    <n v="404.61579999999998"/>
    <n v="449.5061"/>
    <n v="0.90013416948068115"/>
    <n v="3"/>
  </r>
  <r>
    <x v="0"/>
    <n v="10.307600000000001"/>
    <n v="13.8415"/>
    <n v="0.74468807571433737"/>
    <n v="0"/>
  </r>
  <r>
    <x v="4"/>
    <n v="10.307600000000001"/>
    <n v="13.8415"/>
    <n v="0.74468807571433737"/>
    <n v="0"/>
  </r>
  <r>
    <x v="0"/>
    <n v="65.165599999999998"/>
    <n v="83.259299999999996"/>
    <n v="0.78268253516423991"/>
    <n v="0"/>
  </r>
  <r>
    <x v="4"/>
    <n v="65.165599999999998"/>
    <n v="83.259299999999996"/>
    <n v="0.78268253516423991"/>
    <n v="0"/>
  </r>
  <r>
    <x v="0"/>
    <n v="69.228499999999997"/>
    <n v="76.136200000000002"/>
    <n v="0.90927180500208837"/>
    <n v="3"/>
  </r>
  <r>
    <x v="3"/>
    <n v="2.6916000000000002"/>
    <n v="2.6930999999999998"/>
    <n v="0.99944302105380411"/>
    <n v="3"/>
  </r>
  <r>
    <x v="4"/>
    <n v="71.920100000000005"/>
    <n v="78.829300000000003"/>
    <n v="0.91235238673944841"/>
    <n v="3"/>
  </r>
  <r>
    <x v="0"/>
    <n v="15.8483"/>
    <n v="17.202500000000001"/>
    <n v="0.92127888388315649"/>
    <n v="3"/>
  </r>
  <r>
    <x v="3"/>
    <n v="4.0132000000000003"/>
    <n v="4.0141999999999998"/>
    <n v="0.99975088436052018"/>
    <n v="3"/>
  </r>
  <r>
    <x v="4"/>
    <n v="19.861499999999999"/>
    <n v="21.216699999999999"/>
    <n v="0.93612578770496824"/>
    <n v="3"/>
  </r>
  <r>
    <x v="0"/>
    <n v="35.995600000000003"/>
    <n v="40.7883"/>
    <n v="0.88249816736662234"/>
    <n v="1.5"/>
  </r>
  <r>
    <x v="4"/>
    <n v="35.995600000000003"/>
    <n v="40.7883"/>
    <n v="0.88249816736662234"/>
    <n v="1.5"/>
  </r>
  <r>
    <x v="0"/>
    <n v="104.60120000000001"/>
    <n v="113.2106"/>
    <n v="0.92395235075160809"/>
    <n v="3"/>
  </r>
  <r>
    <x v="3"/>
    <n v="2.6042999999999998"/>
    <n v="2.6042999999999998"/>
    <n v="1"/>
    <n v="3"/>
  </r>
  <r>
    <x v="4"/>
    <n v="107.2055"/>
    <n v="115.81489999999999"/>
    <n v="0.92566241476701183"/>
    <n v="3"/>
  </r>
  <r>
    <x v="0"/>
    <n v="24.884699999999999"/>
    <n v="30.713899999999999"/>
    <n v="0.81020970961030669"/>
    <n v="1.5"/>
  </r>
  <r>
    <x v="4"/>
    <n v="24.884699999999999"/>
    <n v="30.713899999999999"/>
    <n v="0.81020970961030669"/>
    <n v="1.5"/>
  </r>
  <r>
    <x v="0"/>
    <n v="12.1721"/>
    <n v="15.8079"/>
    <n v="0.7700010754116613"/>
    <n v="0"/>
  </r>
  <r>
    <x v="4"/>
    <n v="12.1721"/>
    <n v="15.8079"/>
    <n v="0.7700010754116613"/>
    <n v="0"/>
  </r>
  <r>
    <x v="0"/>
    <n v="476.81380000000001"/>
    <n v="538.99670000000003"/>
    <n v="0.88463213225609727"/>
    <n v="1.5"/>
  </r>
  <r>
    <x v="1"/>
    <n v="261.40589999999997"/>
    <n v="295.90010000000001"/>
    <n v="0.8834261968819882"/>
    <n v="1.5"/>
  </r>
  <r>
    <x v="3"/>
    <n v="13.908799999999999"/>
    <n v="14.8811"/>
    <n v="0.93466208815208551"/>
    <n v="3"/>
  </r>
  <r>
    <x v="4"/>
    <n v="752.12850000000003"/>
    <n v="849.77790000000005"/>
    <n v="0.88508832719702402"/>
    <n v="1.5"/>
  </r>
  <r>
    <x v="0"/>
    <n v="10.3443"/>
    <n v="10.664999999999999"/>
    <n v="0.96992967651195494"/>
    <n v="3"/>
  </r>
  <r>
    <x v="2"/>
    <n v="2"/>
    <n v="2"/>
    <n v="1"/>
    <n v="3"/>
  </r>
  <r>
    <x v="3"/>
    <n v="0.62239999999999995"/>
    <n v="0.62239999999999995"/>
    <n v="1"/>
    <n v="3"/>
  </r>
  <r>
    <x v="4"/>
    <n v="12.966699999999999"/>
    <n v="13.2874"/>
    <n v="0.97586435269503435"/>
    <n v="3"/>
  </r>
  <r>
    <x v="0"/>
    <n v="36.396299999999997"/>
    <n v="37.8474"/>
    <n v="0.96165918927059724"/>
    <n v="3"/>
  </r>
  <r>
    <x v="4"/>
    <n v="36.396299999999997"/>
    <n v="37.8474"/>
    <n v="0.96165918927059724"/>
    <n v="3"/>
  </r>
  <r>
    <x v="0"/>
    <n v="19.325299999999999"/>
    <n v="20.7225"/>
    <n v="0.93257570273856916"/>
    <n v="3"/>
  </r>
  <r>
    <x v="4"/>
    <n v="19.325299999999999"/>
    <n v="20.7225"/>
    <n v="0.93257570273856916"/>
    <n v="3"/>
  </r>
  <r>
    <x v="0"/>
    <n v="11.9466"/>
    <n v="17.8477"/>
    <n v="0.66936355945023729"/>
    <n v="0"/>
  </r>
  <r>
    <x v="4"/>
    <n v="11.9466"/>
    <n v="17.8477"/>
    <n v="0.66936355945023729"/>
    <n v="0"/>
  </r>
  <r>
    <x v="0"/>
    <n v="78.012500000000003"/>
    <n v="87.082599999999999"/>
    <n v="0.89584486453091661"/>
    <n v="1.5"/>
  </r>
  <r>
    <x v="2"/>
    <n v="2"/>
    <n v="2"/>
    <n v="1"/>
    <n v="3"/>
  </r>
  <r>
    <x v="3"/>
    <n v="0.62239999999999995"/>
    <n v="0.62239999999999995"/>
    <n v="1"/>
    <n v="3"/>
  </r>
  <r>
    <x v="4"/>
    <n v="80.634900000000002"/>
    <n v="89.704999999999998"/>
    <n v="0.89888969399699015"/>
    <n v="1.5"/>
  </r>
  <r>
    <x v="0"/>
    <n v="190.251"/>
    <n v="203.41079999999999"/>
    <n v="0.93530432012459519"/>
    <n v="3"/>
  </r>
  <r>
    <x v="1"/>
    <n v="39.379600000000003"/>
    <n v="42.613199999999999"/>
    <n v="0.92411740962894129"/>
    <n v="3"/>
  </r>
  <r>
    <x v="2"/>
    <n v="84.631100000000004"/>
    <n v="87.970600000000005"/>
    <n v="0.96203845375614128"/>
    <n v="3"/>
  </r>
  <r>
    <x v="3"/>
    <n v="2.0699000000000001"/>
    <n v="2.0699000000000001"/>
    <n v="1"/>
    <n v="3"/>
  </r>
  <r>
    <x v="4"/>
    <n v="316.33159999999998"/>
    <n v="336.06450000000001"/>
    <n v="0.94128240263401819"/>
    <n v="3"/>
  </r>
  <r>
    <x v="0"/>
    <n v="24.346599999999999"/>
    <n v="29.067900000000002"/>
    <n v="0.83757684593658299"/>
    <n v="1.5"/>
  </r>
  <r>
    <x v="2"/>
    <n v="46.003799999999998"/>
    <n v="51.003799999999998"/>
    <n v="0.90196808865221811"/>
    <n v="3"/>
  </r>
  <r>
    <x v="3"/>
    <n v="1.0578000000000001"/>
    <n v="1.0589999999999999"/>
    <n v="0.99886685552407928"/>
    <n v="3"/>
  </r>
  <r>
    <x v="4"/>
    <n v="71.408199999999994"/>
    <n v="81.130700000000004"/>
    <n v="0.88016250322011269"/>
    <n v="1.5"/>
  </r>
  <r>
    <x v="0"/>
    <n v="12.9255"/>
    <n v="13.723699999999999"/>
    <n v="0.94183784256432301"/>
    <n v="3"/>
  </r>
  <r>
    <x v="4"/>
    <n v="12.9255"/>
    <n v="13.723699999999999"/>
    <n v="0.94183784256432301"/>
    <n v="3"/>
  </r>
  <r>
    <x v="0"/>
    <n v="53.725499999999997"/>
    <n v="61.052599999999998"/>
    <n v="0.87998709309677225"/>
    <n v="1.5"/>
  </r>
  <r>
    <x v="4"/>
    <n v="53.725499999999997"/>
    <n v="61.052599999999998"/>
    <n v="0.87998709309677225"/>
    <n v="1.5"/>
  </r>
  <r>
    <x v="0"/>
    <n v="5.0679999999999996"/>
    <n v="8.5695999999999994"/>
    <n v="0.5913928304705004"/>
    <n v="0"/>
  </r>
  <r>
    <x v="4"/>
    <n v="5.0679999999999996"/>
    <n v="8.5695999999999994"/>
    <n v="0.5913928304705004"/>
    <n v="0"/>
  </r>
  <r>
    <x v="0"/>
    <n v="11.326000000000001"/>
    <n v="12.9964"/>
    <n v="0.8714720999661445"/>
    <n v="1.5"/>
  </r>
  <r>
    <x v="4"/>
    <n v="11.326000000000001"/>
    <n v="12.9964"/>
    <n v="0.8714720999661445"/>
    <n v="1.5"/>
  </r>
  <r>
    <x v="0"/>
    <n v="14.213900000000001"/>
    <n v="16.1084"/>
    <n v="0.88239055399667254"/>
    <n v="1.5"/>
  </r>
  <r>
    <x v="4"/>
    <n v="14.213900000000001"/>
    <n v="16.1084"/>
    <n v="0.88239055399667254"/>
    <n v="1.5"/>
  </r>
  <r>
    <x v="0"/>
    <n v="311.85649999999998"/>
    <n v="344.92939999999999"/>
    <n v="0.90411690044397486"/>
    <n v="3"/>
  </r>
  <r>
    <x v="1"/>
    <n v="39.379600000000003"/>
    <n v="42.613199999999999"/>
    <n v="0.92411740962894129"/>
    <n v="3"/>
  </r>
  <r>
    <x v="2"/>
    <n v="130.63489999999999"/>
    <n v="138.9744"/>
    <n v="0.93999254538965449"/>
    <n v="3"/>
  </r>
  <r>
    <x v="3"/>
    <n v="3.1276999999999999"/>
    <n v="3.1288999999999998"/>
    <n v="0.99961647863466396"/>
    <n v="3"/>
  </r>
  <r>
    <x v="4"/>
    <n v="484.99869999999999"/>
    <n v="529.64589999999998"/>
    <n v="0.91570368051560491"/>
    <n v="3"/>
  </r>
  <r>
    <x v="0"/>
    <n v="82.260099999999994"/>
    <n v="90.701800000000006"/>
    <n v="0.90692907968750347"/>
    <n v="3"/>
  </r>
  <r>
    <x v="2"/>
    <n v="133.71440000000001"/>
    <n v="142.4144"/>
    <n v="0.93891067195452149"/>
    <n v="3"/>
  </r>
  <r>
    <x v="3"/>
    <n v="1.0329999999999999"/>
    <n v="1.0329999999999999"/>
    <n v="1"/>
    <n v="3"/>
  </r>
  <r>
    <x v="4"/>
    <n v="217.00749999999999"/>
    <n v="234.14920000000001"/>
    <n v="0.92679155000316038"/>
    <n v="3"/>
  </r>
  <r>
    <x v="0"/>
    <n v="20.3629"/>
    <n v="23.1555"/>
    <n v="0.87939798320053553"/>
    <n v="1.5"/>
  </r>
  <r>
    <x v="1"/>
    <n v="16.71"/>
    <n v="16.71"/>
    <n v="1"/>
    <n v="3"/>
  </r>
  <r>
    <x v="2"/>
    <n v="0.59799999999999998"/>
    <n v="0.59799999999999998"/>
    <n v="1"/>
    <n v="3"/>
  </r>
  <r>
    <x v="3"/>
    <n v="0.4158"/>
    <n v="0.4158"/>
    <n v="1"/>
    <n v="3"/>
  </r>
  <r>
    <x v="4"/>
    <n v="38.0867"/>
    <n v="40.879300000000001"/>
    <n v="0.93168669717925701"/>
    <n v="3"/>
  </r>
  <r>
    <x v="0"/>
    <n v="49.4377"/>
    <n v="55.921999999999997"/>
    <n v="0.88404742319659524"/>
    <n v="1.5"/>
  </r>
  <r>
    <x v="3"/>
    <n v="0.36659999999999998"/>
    <n v="0.5554"/>
    <n v="0.66006481814908169"/>
    <n v="0"/>
  </r>
  <r>
    <x v="4"/>
    <n v="49.804299999999998"/>
    <n v="56.477400000000003"/>
    <n v="0.88184477330755306"/>
    <n v="1.5"/>
  </r>
  <r>
    <x v="0"/>
    <n v="4.8296999999999999"/>
    <n v="52.513199999999998"/>
    <n v="9.1971161536527957E-2"/>
    <n v="0"/>
  </r>
  <r>
    <x v="4"/>
    <n v="4.8296999999999999"/>
    <n v="52.513199999999998"/>
    <n v="9.1971161536527957E-2"/>
    <n v="0"/>
  </r>
  <r>
    <x v="0"/>
    <n v="74.630300000000005"/>
    <n v="131.5907"/>
    <n v="0.56713962308886567"/>
    <n v="0"/>
  </r>
  <r>
    <x v="1"/>
    <n v="16.71"/>
    <n v="16.71"/>
    <n v="1"/>
    <n v="3"/>
  </r>
  <r>
    <x v="2"/>
    <n v="0.59799999999999998"/>
    <n v="0.59799999999999998"/>
    <n v="1"/>
    <n v="3"/>
  </r>
  <r>
    <x v="3"/>
    <n v="0.78239999999999998"/>
    <n v="0.97119999999999995"/>
    <n v="0.80560131795716639"/>
    <n v="1.5"/>
  </r>
  <r>
    <x v="4"/>
    <n v="92.720699999999994"/>
    <n v="149.8699"/>
    <n v="0.61867459710055184"/>
    <n v="0"/>
  </r>
  <r>
    <x v="0"/>
    <n v="2399.2669999999998"/>
    <n v="2730.7143000000001"/>
    <n v="0.87862249082593513"/>
    <n v="1.5"/>
  </r>
  <r>
    <x v="1"/>
    <n v="626.28189999999995"/>
    <n v="685.52959999999996"/>
    <n v="0.91357382671732923"/>
    <n v="3"/>
  </r>
  <r>
    <x v="2"/>
    <n v="427.3544"/>
    <n v="458.82889999999998"/>
    <n v="0.93140253371136827"/>
    <n v="3"/>
  </r>
  <r>
    <x v="3"/>
    <n v="38.583199999999998"/>
    <n v="40.284799999999997"/>
    <n v="0.95776074350623563"/>
    <n v="3"/>
  </r>
  <r>
    <x v="4"/>
    <n v="3491.4865"/>
    <n v="3915.3575999999998"/>
    <n v="0.89174140824327264"/>
    <n v="1.5"/>
  </r>
  <r>
    <x v="0"/>
    <n v="52.177"/>
    <n v="54.877800000000001"/>
    <n v="0.95078519911512482"/>
    <n v="3"/>
  </r>
  <r>
    <x v="1"/>
    <n v="51.287199999999999"/>
    <n v="53.677199999999999"/>
    <n v="0.95547457766053367"/>
    <n v="3"/>
  </r>
  <r>
    <x v="2"/>
    <n v="0.76700000000000002"/>
    <n v="0.76700000000000002"/>
    <n v="1"/>
    <n v="3"/>
  </r>
  <r>
    <x v="3"/>
    <n v="0.79459999999999997"/>
    <n v="0.79459999999999997"/>
    <n v="1"/>
    <n v="3"/>
  </r>
  <r>
    <x v="4"/>
    <n v="105.0258"/>
    <n v="110.11660000000001"/>
    <n v="0.95376900485485383"/>
    <n v="3"/>
  </r>
  <r>
    <x v="0"/>
    <n v="294.9898"/>
    <n v="305.05900000000003"/>
    <n v="0.96699261454341623"/>
    <n v="3"/>
  </r>
  <r>
    <x v="2"/>
    <n v="40.426200000000001"/>
    <n v="40.426200000000001"/>
    <n v="1"/>
    <n v="3"/>
  </r>
  <r>
    <x v="3"/>
    <n v="2.5211999999999999"/>
    <n v="2.5430999999999999"/>
    <n v="0.99138846289961069"/>
    <n v="3"/>
  </r>
  <r>
    <x v="4"/>
    <n v="337.93720000000002"/>
    <n v="348.0283"/>
    <n v="0.97100494413816352"/>
    <n v="3"/>
  </r>
  <r>
    <x v="0"/>
    <n v="36.502800000000001"/>
    <n v="38.3675"/>
    <n v="0.95139897048283051"/>
    <n v="3"/>
  </r>
  <r>
    <x v="2"/>
    <n v="2.2746"/>
    <n v="2.2746"/>
    <n v="1"/>
    <n v="3"/>
  </r>
  <r>
    <x v="3"/>
    <n v="0.23810000000000001"/>
    <n v="0.2349"/>
    <n v="1"/>
    <n v="3"/>
  </r>
  <r>
    <x v="4"/>
    <n v="39.015500000000003"/>
    <n v="40.877000000000002"/>
    <n v="0.95446094380703084"/>
    <n v="3"/>
  </r>
  <r>
    <x v="0"/>
    <n v="12.348800000000001"/>
    <n v="12.7699"/>
    <n v="0.96702401741595467"/>
    <n v="3"/>
  </r>
  <r>
    <x v="1"/>
    <n v="52.353099999999998"/>
    <n v="52.990499999999997"/>
    <n v="0.98797142884101863"/>
    <n v="3"/>
  </r>
  <r>
    <x v="2"/>
    <n v="119.2929"/>
    <n v="129.2705"/>
    <n v="0.92281611040415257"/>
    <n v="3"/>
  </r>
  <r>
    <x v="3"/>
    <n v="1.4069"/>
    <n v="1.4069"/>
    <n v="1"/>
    <n v="3"/>
  </r>
  <r>
    <x v="4"/>
    <n v="185.40170000000001"/>
    <n v="196.43780000000001"/>
    <n v="0.94381885767403217"/>
    <n v="3"/>
  </r>
  <r>
    <x v="0"/>
    <n v="66.298199999999994"/>
    <n v="68.606099999999998"/>
    <n v="0.96636013415716682"/>
    <n v="3"/>
  </r>
  <r>
    <x v="3"/>
    <n v="0.29820000000000002"/>
    <n v="0.29820000000000002"/>
    <n v="1"/>
    <n v="3"/>
  </r>
  <r>
    <x v="4"/>
    <n v="66.596400000000003"/>
    <n v="68.904300000000006"/>
    <n v="0.96650571880129399"/>
    <n v="3"/>
  </r>
  <r>
    <x v="0"/>
    <n v="72.354399999999998"/>
    <n v="74.404300000000006"/>
    <n v="0.97244917296446576"/>
    <n v="3"/>
  </r>
  <r>
    <x v="4"/>
    <n v="72.354399999999998"/>
    <n v="74.404300000000006"/>
    <n v="0.97244917296446576"/>
    <n v="3"/>
  </r>
  <r>
    <x v="0"/>
    <n v="36.523400000000002"/>
    <n v="39.333300000000001"/>
    <n v="0.92856180386593545"/>
    <n v="3"/>
  </r>
  <r>
    <x v="3"/>
    <n v="0.18"/>
    <n v="0.18"/>
    <n v="1"/>
    <n v="3"/>
  </r>
  <r>
    <x v="4"/>
    <n v="36.703400000000002"/>
    <n v="39.513300000000001"/>
    <n v="0.92888723543718188"/>
    <n v="3"/>
  </r>
  <r>
    <x v="0"/>
    <n v="10.375500000000001"/>
    <n v="10.8085"/>
    <n v="0.95993893694777255"/>
    <n v="3"/>
  </r>
  <r>
    <x v="4"/>
    <n v="10.375500000000001"/>
    <n v="10.8085"/>
    <n v="0.95993893694777255"/>
    <n v="3"/>
  </r>
  <r>
    <x v="0"/>
    <n v="11.5116"/>
    <n v="11.4998"/>
    <n v="1"/>
    <n v="3"/>
  </r>
  <r>
    <x v="3"/>
    <n v="1.996"/>
    <n v="1.9930000000000001"/>
    <n v="1"/>
    <n v="3"/>
  </r>
  <r>
    <x v="4"/>
    <n v="13.5076"/>
    <n v="13.492800000000001"/>
    <n v="1"/>
    <n v="3"/>
  </r>
  <r>
    <x v="0"/>
    <n v="17.1294"/>
    <n v="18.256"/>
    <n v="0.93828878177037689"/>
    <n v="3"/>
  </r>
  <r>
    <x v="3"/>
    <n v="0.78359999999999996"/>
    <n v="0.78359999999999996"/>
    <n v="1"/>
    <n v="3"/>
  </r>
  <r>
    <x v="4"/>
    <n v="17.913"/>
    <n v="19.0396"/>
    <n v="0.94082858883589993"/>
    <n v="3"/>
  </r>
  <r>
    <x v="0"/>
    <n v="28.2028"/>
    <n v="28.9633"/>
    <n v="0.97374263291821028"/>
    <n v="3"/>
  </r>
  <r>
    <x v="4"/>
    <n v="28.2028"/>
    <n v="28.9633"/>
    <n v="0.97374263291821028"/>
    <n v="3"/>
  </r>
  <r>
    <x v="0"/>
    <n v="10.2441"/>
    <n v="13.582599999999999"/>
    <n v="0.75420758912137587"/>
    <n v="0"/>
  </r>
  <r>
    <x v="4"/>
    <n v="10.2441"/>
    <n v="13.582599999999999"/>
    <n v="0.75420758912137587"/>
    <n v="0"/>
  </r>
  <r>
    <x v="0"/>
    <n v="264.98820000000001"/>
    <n v="278.22379999999998"/>
    <n v="0.9524282250476056"/>
    <n v="3"/>
  </r>
  <r>
    <x v="1"/>
    <n v="52.353099999999998"/>
    <n v="52.990499999999997"/>
    <n v="0.98797142884101863"/>
    <n v="3"/>
  </r>
  <r>
    <x v="2"/>
    <n v="119.2929"/>
    <n v="129.2705"/>
    <n v="0.92281611040415257"/>
    <n v="3"/>
  </r>
  <r>
    <x v="3"/>
    <n v="4.6646999999999998"/>
    <n v="4.6616999999999997"/>
    <n v="1"/>
    <n v="3"/>
  </r>
  <r>
    <x v="4"/>
    <n v="441.2989"/>
    <n v="465.1465"/>
    <n v="0.94873099120384652"/>
    <n v="3"/>
  </r>
  <r>
    <x v="0"/>
    <n v="8.7662999999999993"/>
    <n v="9.1523000000000003"/>
    <n v="0.95782480906438816"/>
    <n v="3"/>
  </r>
  <r>
    <x v="1"/>
    <n v="44.458199999999998"/>
    <n v="45.504199999999997"/>
    <n v="0.97701311087767717"/>
    <n v="3"/>
  </r>
  <r>
    <x v="2"/>
    <n v="3.6292"/>
    <n v="4.7591999999999999"/>
    <n v="0.76256513699781481"/>
    <n v="0"/>
  </r>
  <r>
    <x v="3"/>
    <n v="0.8115"/>
    <n v="0.8115"/>
    <n v="1"/>
    <n v="3"/>
  </r>
  <r>
    <x v="4"/>
    <n v="57.665199999999999"/>
    <n v="60.227200000000003"/>
    <n v="0.95746108070772007"/>
    <n v="3"/>
  </r>
  <r>
    <x v="0"/>
    <n v="20.793800000000001"/>
    <n v="22.293299999999999"/>
    <n v="0.93273763866273729"/>
    <n v="3"/>
  </r>
  <r>
    <x v="4"/>
    <n v="20.793800000000001"/>
    <n v="22.293299999999999"/>
    <n v="0.93273763866273729"/>
    <n v="3"/>
  </r>
  <r>
    <x v="0"/>
    <n v="32.701900000000002"/>
    <n v="34.289099999999998"/>
    <n v="0.95371123768194555"/>
    <n v="3"/>
  </r>
  <r>
    <x v="3"/>
    <n v="0.5867"/>
    <n v="0.57920000000000005"/>
    <n v="1"/>
    <n v="3"/>
  </r>
  <r>
    <x v="4"/>
    <n v="33.288600000000002"/>
    <n v="34.868299999999998"/>
    <n v="0.95469523894196162"/>
    <n v="3"/>
  </r>
  <r>
    <x v="0"/>
    <n v="102.8437"/>
    <n v="105.7445"/>
    <n v="0.97256784040777533"/>
    <n v="3"/>
  </r>
  <r>
    <x v="4"/>
    <n v="102.8437"/>
    <n v="105.7445"/>
    <n v="0.97256784040777533"/>
    <n v="3"/>
  </r>
  <r>
    <x v="0"/>
    <n v="14.393000000000001"/>
    <n v="14.3932"/>
    <n v="0.99998610454937054"/>
    <n v="3"/>
  </r>
  <r>
    <x v="4"/>
    <n v="14.393000000000001"/>
    <n v="14.3932"/>
    <n v="0.99998610454937054"/>
    <n v="3"/>
  </r>
  <r>
    <x v="0"/>
    <n v="9.4865999999999993"/>
    <n v="11.953200000000001"/>
    <n v="0.79364521634374063"/>
    <n v="0"/>
  </r>
  <r>
    <x v="4"/>
    <n v="9.4865999999999993"/>
    <n v="11.953200000000001"/>
    <n v="0.79364521634374063"/>
    <n v="0"/>
  </r>
  <r>
    <x v="0"/>
    <n v="90.355099999999993"/>
    <n v="97.877799999999993"/>
    <n v="0.92314191777910826"/>
    <n v="3"/>
  </r>
  <r>
    <x v="4"/>
    <n v="90.355099999999993"/>
    <n v="97.877799999999993"/>
    <n v="0.92314191777910826"/>
    <n v="3"/>
  </r>
  <r>
    <x v="0"/>
    <n v="23.839200000000002"/>
    <n v="24.100100000000001"/>
    <n v="0.98917431877876028"/>
    <n v="3"/>
  </r>
  <r>
    <x v="4"/>
    <n v="23.839200000000002"/>
    <n v="24.100100000000001"/>
    <n v="0.98917431877876028"/>
    <n v="3"/>
  </r>
  <r>
    <x v="0"/>
    <n v="8.4300999999999995"/>
    <n v="8.6189"/>
    <n v="0.97809465244984861"/>
    <n v="3"/>
  </r>
  <r>
    <x v="4"/>
    <n v="8.4300999999999995"/>
    <n v="8.6189"/>
    <n v="0.97809465244984861"/>
    <n v="3"/>
  </r>
  <r>
    <x v="0"/>
    <n v="311.60969999999998"/>
    <n v="328.42239999999998"/>
    <n v="0.94880769399407594"/>
    <n v="3"/>
  </r>
  <r>
    <x v="1"/>
    <n v="44.458199999999998"/>
    <n v="45.504199999999997"/>
    <n v="0.97701311087767717"/>
    <n v="3"/>
  </r>
  <r>
    <x v="2"/>
    <n v="3.6292"/>
    <n v="4.7591999999999999"/>
    <n v="0.76256513699781481"/>
    <n v="0"/>
  </r>
  <r>
    <x v="3"/>
    <n v="1.3982000000000001"/>
    <n v="1.3907"/>
    <n v="1"/>
    <n v="3"/>
  </r>
  <r>
    <x v="4"/>
    <n v="361.09530000000001"/>
    <n v="380.07650000000001"/>
    <n v="0.95005952748986056"/>
    <n v="3"/>
  </r>
  <r>
    <x v="0"/>
    <n v="104.9068"/>
    <n v="106.8605"/>
    <n v="0.98171728562003735"/>
    <n v="3"/>
  </r>
  <r>
    <x v="1"/>
    <n v="66.183499999999995"/>
    <n v="68.930099999999996"/>
    <n v="0.96015383700299284"/>
    <n v="3"/>
  </r>
  <r>
    <x v="2"/>
    <n v="8.7880000000000003"/>
    <n v="9.3434000000000008"/>
    <n v="0.94055697069589228"/>
    <n v="3"/>
  </r>
  <r>
    <x v="3"/>
    <n v="1.2948999999999999"/>
    <n v="1.6318999999999999"/>
    <n v="0.79349224829952814"/>
    <n v="0"/>
  </r>
  <r>
    <x v="4"/>
    <n v="181.17320000000001"/>
    <n v="186.76589999999999"/>
    <n v="0.97005502610487249"/>
    <n v="3"/>
  </r>
  <r>
    <x v="0"/>
    <n v="4.7603"/>
    <n v="6.3380999999999998"/>
    <n v="0.75106104353039549"/>
    <n v="0"/>
  </r>
  <r>
    <x v="4"/>
    <n v="4.7603"/>
    <n v="6.3380999999999998"/>
    <n v="0.75106104353039549"/>
    <n v="0"/>
  </r>
  <r>
    <x v="0"/>
    <n v="45.373100000000001"/>
    <n v="47.133600000000001"/>
    <n v="0.96264872617410935"/>
    <n v="3"/>
  </r>
  <r>
    <x v="4"/>
    <n v="45.373100000000001"/>
    <n v="47.133600000000001"/>
    <n v="0.96264872617410935"/>
    <n v="3"/>
  </r>
  <r>
    <x v="0"/>
    <n v="27.7057"/>
    <n v="28.736999999999998"/>
    <n v="0.96411246824651142"/>
    <n v="3"/>
  </r>
  <r>
    <x v="2"/>
    <n v="0.65620000000000001"/>
    <n v="0.65620000000000001"/>
    <n v="1"/>
    <n v="3"/>
  </r>
  <r>
    <x v="4"/>
    <n v="28.361899999999999"/>
    <n v="29.3932"/>
    <n v="0.964913653498088"/>
    <n v="3"/>
  </r>
  <r>
    <x v="0"/>
    <n v="3.9489999999999998"/>
    <n v="4.2789000000000001"/>
    <n v="0.92290074551870804"/>
    <n v="3"/>
  </r>
  <r>
    <x v="2"/>
    <n v="1"/>
    <n v="1"/>
    <n v="1"/>
    <n v="3"/>
  </r>
  <r>
    <x v="4"/>
    <n v="4.9489999999999998"/>
    <n v="5.2789000000000001"/>
    <n v="0.93750591979389641"/>
    <n v="3"/>
  </r>
  <r>
    <x v="0"/>
    <n v="26.449200000000001"/>
    <n v="28.253499999999999"/>
    <n v="0.93613888544782065"/>
    <n v="3"/>
  </r>
  <r>
    <x v="4"/>
    <n v="26.449200000000001"/>
    <n v="28.253499999999999"/>
    <n v="0.93613888544782065"/>
    <n v="3"/>
  </r>
  <r>
    <x v="0"/>
    <n v="64.701599999999999"/>
    <n v="66.421499999999995"/>
    <n v="0.97410627582936249"/>
    <n v="3"/>
  </r>
  <r>
    <x v="4"/>
    <n v="64.701599999999999"/>
    <n v="66.421499999999995"/>
    <n v="0.97410627582936249"/>
    <n v="3"/>
  </r>
  <r>
    <x v="0"/>
    <n v="7.4096000000000002"/>
    <n v="7.4526000000000003"/>
    <n v="0.99423020154040198"/>
    <n v="3"/>
  </r>
  <r>
    <x v="3"/>
    <n v="0.12989999999999999"/>
    <n v="0.12989999999999999"/>
    <n v="1"/>
    <n v="3"/>
  </r>
  <r>
    <x v="4"/>
    <n v="7.5395000000000003"/>
    <n v="7.5824999999999996"/>
    <n v="0.99432904714803827"/>
    <n v="3"/>
  </r>
  <r>
    <x v="0"/>
    <n v="285.25529999999998"/>
    <n v="295.47570000000002"/>
    <n v="0.9654103535417633"/>
    <n v="3"/>
  </r>
  <r>
    <x v="1"/>
    <n v="66.183499999999995"/>
    <n v="68.930099999999996"/>
    <n v="0.96015383700299284"/>
    <n v="3"/>
  </r>
  <r>
    <x v="2"/>
    <n v="10.4442"/>
    <n v="10.999599999999999"/>
    <n v="0.94950725480926579"/>
    <n v="3"/>
  </r>
  <r>
    <x v="3"/>
    <n v="1.4248000000000001"/>
    <n v="1.7618"/>
    <n v="0.8087183562265865"/>
    <n v="1.5"/>
  </r>
  <r>
    <x v="4"/>
    <n v="363.30779999999999"/>
    <n v="377.16719999999998"/>
    <n v="0.96325396269877128"/>
    <n v="3"/>
  </r>
  <r>
    <x v="0"/>
    <n v="21.741700000000002"/>
    <n v="21.734400000000001"/>
    <n v="1"/>
    <n v="3"/>
  </r>
  <r>
    <x v="2"/>
    <n v="17.332100000000001"/>
    <n v="17.332100000000001"/>
    <n v="1"/>
    <n v="3"/>
  </r>
  <r>
    <x v="3"/>
    <n v="2.2389000000000001"/>
    <n v="2.2389000000000001"/>
    <n v="1"/>
    <n v="3"/>
  </r>
  <r>
    <x v="4"/>
    <n v="41.3127"/>
    <n v="41.305399999999999"/>
    <n v="1"/>
    <n v="3"/>
  </r>
  <r>
    <x v="0"/>
    <n v="29.2151"/>
    <n v="30.805099999999999"/>
    <n v="0.94838516998808642"/>
    <n v="3"/>
  </r>
  <r>
    <x v="3"/>
    <n v="0.1232"/>
    <n v="0.1232"/>
    <n v="1"/>
    <n v="3"/>
  </r>
  <r>
    <x v="4"/>
    <n v="29.3383"/>
    <n v="30.9283"/>
    <n v="0.94859077285204807"/>
    <n v="3"/>
  </r>
  <r>
    <x v="0"/>
    <n v="23.286300000000001"/>
    <n v="25.401299999999999"/>
    <n v="0.91673654497998136"/>
    <n v="3"/>
  </r>
  <r>
    <x v="4"/>
    <n v="23.286300000000001"/>
    <n v="25.401299999999999"/>
    <n v="0.91673654497998136"/>
    <n v="3"/>
  </r>
  <r>
    <x v="0"/>
    <n v="74.243099999999998"/>
    <n v="77.940799999999996"/>
    <n v="0.95255758216492514"/>
    <n v="3"/>
  </r>
  <r>
    <x v="2"/>
    <n v="17.332100000000001"/>
    <n v="17.332100000000001"/>
    <n v="1"/>
    <n v="3"/>
  </r>
  <r>
    <x v="3"/>
    <n v="2.3620999999999999"/>
    <n v="2.3620999999999999"/>
    <n v="1"/>
    <n v="3"/>
  </r>
  <r>
    <x v="4"/>
    <n v="93.937299999999993"/>
    <n v="97.635000000000005"/>
    <n v="0.96212731090285242"/>
    <n v="3"/>
  </r>
  <r>
    <x v="0"/>
    <n v="118.14015900000001"/>
    <n v="122.0925"/>
    <n v="0.96762830640702757"/>
    <n v="3"/>
  </r>
  <r>
    <x v="1"/>
    <n v="12.891999999999999"/>
    <n v="13.4541"/>
    <n v="0.95822091407080368"/>
    <n v="3"/>
  </r>
  <r>
    <x v="2"/>
    <n v="208.23"/>
    <n v="213.61879999999999"/>
    <n v="0.97477375586792925"/>
    <n v="3"/>
  </r>
  <r>
    <x v="3"/>
    <n v="1.3585"/>
    <n v="1.3601000000000001"/>
    <n v="0.99882361591059476"/>
    <n v="3"/>
  </r>
  <r>
    <x v="4"/>
    <n v="340.62065899999999"/>
    <n v="350.52550000000002"/>
    <n v="0.97174288033252931"/>
    <n v="3"/>
  </r>
  <r>
    <x v="0"/>
    <n v="31.4619"/>
    <n v="32.606999999999999"/>
    <n v="0.96488177385224028"/>
    <n v="3"/>
  </r>
  <r>
    <x v="2"/>
    <n v="36.5246"/>
    <n v="36.891199999999998"/>
    <n v="0.99006267077243348"/>
    <n v="3"/>
  </r>
  <r>
    <x v="4"/>
    <n v="67.986500000000007"/>
    <n v="69.498199999999997"/>
    <n v="0.97824835751141759"/>
    <n v="3"/>
  </r>
  <r>
    <x v="0"/>
    <n v="18.283200000000001"/>
    <n v="20.102900000000002"/>
    <n v="0.90948072168692085"/>
    <n v="3"/>
  </r>
  <r>
    <x v="4"/>
    <n v="18.283200000000001"/>
    <n v="20.102900000000002"/>
    <n v="0.90948072168692085"/>
    <n v="3"/>
  </r>
  <r>
    <x v="0"/>
    <n v="41.883800000000001"/>
    <n v="46.828400000000002"/>
    <n v="0.89441022968967554"/>
    <n v="1.5"/>
  </r>
  <r>
    <x v="4"/>
    <n v="41.883800000000001"/>
    <n v="46.828400000000002"/>
    <n v="0.89441022968967554"/>
    <n v="1.5"/>
  </r>
  <r>
    <x v="0"/>
    <n v="4.6359000000000004"/>
    <n v="4.6181999999999999"/>
    <n v="1"/>
    <n v="3"/>
  </r>
  <r>
    <x v="4"/>
    <n v="4.6359000000000004"/>
    <n v="4.6181999999999999"/>
    <n v="1"/>
    <n v="3"/>
  </r>
  <r>
    <x v="0"/>
    <n v="214.40495899999999"/>
    <n v="226.249"/>
    <n v="0.9476504161344359"/>
    <n v="3"/>
  </r>
  <r>
    <x v="1"/>
    <n v="12.891999999999999"/>
    <n v="13.4541"/>
    <n v="0.95822091407080368"/>
    <n v="3"/>
  </r>
  <r>
    <x v="2"/>
    <n v="244.75460000000001"/>
    <n v="250.51"/>
    <n v="0.97702526845235715"/>
    <n v="3"/>
  </r>
  <r>
    <x v="3"/>
    <n v="1.3585"/>
    <n v="1.3601000000000001"/>
    <n v="0.99882361591059476"/>
    <n v="3"/>
  </r>
  <r>
    <x v="4"/>
    <n v="473.41005899999999"/>
    <n v="491.57319999999999"/>
    <n v="0.96305099423646368"/>
    <n v="3"/>
  </r>
  <r>
    <x v="0"/>
    <n v="77.322000000000003"/>
    <n v="84.250500000000002"/>
    <n v="0.91776309932878741"/>
    <n v="3"/>
  </r>
  <r>
    <x v="2"/>
    <n v="106.6345"/>
    <n v="110.6345"/>
    <n v="0.96384491275325512"/>
    <n v="3"/>
  </r>
  <r>
    <x v="3"/>
    <n v="1.4852000000000001"/>
    <n v="1.4852000000000001"/>
    <n v="1"/>
    <n v="3"/>
  </r>
  <r>
    <x v="4"/>
    <n v="185.4417"/>
    <n v="196.37020000000001"/>
    <n v="0.94434746208946163"/>
    <n v="3"/>
  </r>
  <r>
    <x v="0"/>
    <n v="21.0381"/>
    <n v="21.040600000000001"/>
    <n v="0.99988118209556764"/>
    <n v="3"/>
  </r>
  <r>
    <x v="2"/>
    <n v="1.4061999999999999"/>
    <n v="1.4061999999999999"/>
    <n v="1"/>
    <n v="3"/>
  </r>
  <r>
    <x v="3"/>
    <n v="0.25309999999999999"/>
    <n v="0.25309999999999999"/>
    <n v="1"/>
    <n v="3"/>
  </r>
  <r>
    <x v="4"/>
    <n v="22.697399999999998"/>
    <n v="22.6999"/>
    <n v="0.99988986735624386"/>
    <n v="3"/>
  </r>
  <r>
    <x v="0"/>
    <n v="37.518500000000003"/>
    <n v="39.822899999999997"/>
    <n v="0.94213379738793512"/>
    <n v="3"/>
  </r>
  <r>
    <x v="2"/>
    <n v="0.68740000000000001"/>
    <n v="0.68740000000000001"/>
    <n v="1"/>
    <n v="3"/>
  </r>
  <r>
    <x v="4"/>
    <n v="38.2059"/>
    <n v="40.510300000000001"/>
    <n v="0.94311570143889334"/>
    <n v="3"/>
  </r>
  <r>
    <x v="0"/>
    <n v="58.556600000000003"/>
    <n v="60.863500000000002"/>
    <n v="0.96209715182334243"/>
    <n v="3"/>
  </r>
  <r>
    <x v="2"/>
    <n v="2.0935999999999999"/>
    <n v="2.0935999999999999"/>
    <n v="1"/>
    <n v="3"/>
  </r>
  <r>
    <x v="3"/>
    <n v="0.25309999999999999"/>
    <n v="0.25309999999999999"/>
    <n v="1"/>
    <n v="3"/>
  </r>
  <r>
    <x v="4"/>
    <n v="60.903300000000002"/>
    <n v="63.2102"/>
    <n v="0.96350430784904972"/>
    <n v="3"/>
  </r>
  <r>
    <x v="0"/>
    <n v="1670.0494590000001"/>
    <n v="1749.73"/>
    <n v="0.95446123630502988"/>
    <n v="3"/>
  </r>
  <r>
    <x v="1"/>
    <n v="227.17400000000001"/>
    <n v="234.55609999999999"/>
    <n v="0.96852735870011486"/>
    <n v="3"/>
  </r>
  <r>
    <x v="2"/>
    <n v="547.64890000000003"/>
    <n v="569.06730000000005"/>
    <n v="0.96236227244123851"/>
    <n v="3"/>
  </r>
  <r>
    <x v="3"/>
    <n v="16.500499999999999"/>
    <n v="16.847300000000001"/>
    <n v="0.9794150991553543"/>
    <n v="3"/>
  </r>
  <r>
    <x v="4"/>
    <n v="2461.3728590000001"/>
    <n v="2570.2006999999999"/>
    <n v="0.95765784321823588"/>
    <n v="3"/>
  </r>
  <r>
    <x v="0"/>
    <n v="331.28800000000001"/>
    <n v="333.89319999999998"/>
    <n v="0.99219750507048365"/>
    <n v="3"/>
  </r>
  <r>
    <x v="1"/>
    <n v="62.5657"/>
    <n v="62.5657"/>
    <n v="1"/>
    <n v="3"/>
  </r>
  <r>
    <x v="2"/>
    <n v="31.55"/>
    <n v="31.55"/>
    <n v="1"/>
    <n v="3"/>
  </r>
  <r>
    <x v="3"/>
    <n v="0.76229999999999998"/>
    <n v="0.76229999999999998"/>
    <n v="1"/>
    <n v="3"/>
  </r>
  <r>
    <x v="4"/>
    <n v="426.166"/>
    <n v="428.77120000000002"/>
    <n v="0.99392403221111869"/>
    <n v="3"/>
  </r>
  <r>
    <x v="0"/>
    <n v="1054.1767"/>
    <n v="1083.1623999999999"/>
    <n v="0.97323974687452219"/>
    <n v="3"/>
  </r>
  <r>
    <x v="1"/>
    <n v="77.355099999999993"/>
    <n v="81.440100000000001"/>
    <n v="0.94984043487176462"/>
    <n v="3"/>
  </r>
  <r>
    <x v="2"/>
    <n v="169.26730000000001"/>
    <n v="172.1591"/>
    <n v="0.98320274676157116"/>
    <n v="3"/>
  </r>
  <r>
    <x v="3"/>
    <n v="0.15359999999999999"/>
    <n v="0.15359999999999999"/>
    <n v="1"/>
    <n v="3"/>
  </r>
  <r>
    <x v="4"/>
    <n v="1300.9527"/>
    <n v="1336.9151999999999"/>
    <n v="0.97310038811736155"/>
    <n v="3"/>
  </r>
  <r>
    <x v="0"/>
    <n v="237.3227"/>
    <n v="250.26939999999999"/>
    <n v="0.94826894538445372"/>
    <n v="3"/>
  </r>
  <r>
    <x v="2"/>
    <n v="64.160600000000002"/>
    <n v="66.7346"/>
    <n v="0.96142930353969303"/>
    <n v="3"/>
  </r>
  <r>
    <x v="3"/>
    <n v="1.1636"/>
    <n v="1.1636"/>
    <n v="1"/>
    <n v="3"/>
  </r>
  <r>
    <x v="4"/>
    <n v="302.64690000000002"/>
    <n v="318.16759999999999"/>
    <n v="0.95121847730567155"/>
    <n v="3"/>
  </r>
  <r>
    <x v="0"/>
    <n v="97.790499999999994"/>
    <n v="99.059899999999999"/>
    <n v="0.98718553117861008"/>
    <n v="3"/>
  </r>
  <r>
    <x v="1"/>
    <n v="78.294499999999999"/>
    <n v="80.624499999999998"/>
    <n v="0.97110059597268816"/>
    <n v="3"/>
  </r>
  <r>
    <x v="2"/>
    <n v="90.731399999999994"/>
    <n v="93.920199999999994"/>
    <n v="0.96604777247067186"/>
    <n v="3"/>
  </r>
  <r>
    <x v="3"/>
    <n v="1.4442999999999999"/>
    <n v="1.4442999999999999"/>
    <n v="1"/>
    <n v="3"/>
  </r>
  <r>
    <x v="4"/>
    <n v="268.26069999999999"/>
    <n v="275.0489"/>
    <n v="0.97532002491193381"/>
    <n v="3"/>
  </r>
  <r>
    <x v="0"/>
    <n v="241.72669999999999"/>
    <n v="247.4041"/>
    <n v="0.97705211837637296"/>
    <n v="3"/>
  </r>
  <r>
    <x v="2"/>
    <n v="10.8"/>
    <n v="10.8"/>
    <n v="1"/>
    <n v="3"/>
  </r>
  <r>
    <x v="4"/>
    <n v="252.52670000000001"/>
    <n v="258.20409999999998"/>
    <n v="0.97801196805163049"/>
    <n v="3"/>
  </r>
  <r>
    <x v="0"/>
    <n v="201.57050000000001"/>
    <n v="207.7655"/>
    <n v="0.97018273004902167"/>
    <n v="3"/>
  </r>
  <r>
    <x v="2"/>
    <n v="21.3"/>
    <n v="21.3"/>
    <n v="1"/>
    <n v="3"/>
  </r>
  <r>
    <x v="4"/>
    <n v="222.87049999999999"/>
    <n v="229.06549999999999"/>
    <n v="0.9729553337364204"/>
    <n v="3"/>
  </r>
  <r>
    <x v="0"/>
    <n v="95.177899999999994"/>
    <n v="105.0197"/>
    <n v="0.90628615393111955"/>
    <n v="3"/>
  </r>
  <r>
    <x v="2"/>
    <n v="2.2999999999999998"/>
    <n v="2.2999999999999998"/>
    <n v="1"/>
    <n v="3"/>
  </r>
  <r>
    <x v="3"/>
    <n v="0.19109999999999999"/>
    <n v="0.19109999999999999"/>
    <n v="1"/>
    <n v="3"/>
  </r>
  <r>
    <x v="4"/>
    <n v="97.668999999999997"/>
    <n v="107.5108"/>
    <n v="0.90845756891400675"/>
    <n v="3"/>
  </r>
  <r>
    <x v="0"/>
    <n v="72.513099999999994"/>
    <n v="73.440700000000007"/>
    <n v="0.98736940143544383"/>
    <n v="3"/>
  </r>
  <r>
    <x v="2"/>
    <n v="3"/>
    <n v="3.3"/>
    <n v="0.90909090909090906"/>
    <n v="3"/>
  </r>
  <r>
    <x v="3"/>
    <n v="0.4173"/>
    <n v="0.4173"/>
    <n v="1"/>
    <n v="3"/>
  </r>
  <r>
    <x v="4"/>
    <n v="75.930400000000006"/>
    <n v="77.158000000000001"/>
    <n v="0.98408978978200579"/>
    <n v="3"/>
  </r>
  <r>
    <x v="0"/>
    <n v="34.983899999999998"/>
    <n v="35.0884"/>
    <n v="0.99702180777692917"/>
    <n v="3"/>
  </r>
  <r>
    <x v="2"/>
    <n v="6.4"/>
    <n v="6.4"/>
    <n v="1"/>
    <n v="3"/>
  </r>
  <r>
    <x v="3"/>
    <n v="0.94920000000000004"/>
    <n v="0.94920000000000004"/>
    <n v="1"/>
    <n v="3"/>
  </r>
  <r>
    <x v="4"/>
    <n v="42.333100000000002"/>
    <n v="42.437600000000003"/>
    <n v="0.99753756103078406"/>
    <n v="3"/>
  </r>
  <r>
    <x v="0"/>
    <n v="46.408499999999997"/>
    <n v="49.270699999999998"/>
    <n v="0.9419086800065759"/>
    <n v="3"/>
  </r>
  <r>
    <x v="2"/>
    <n v="19.7"/>
    <n v="20.9"/>
    <n v="0.9425837320574163"/>
    <n v="3"/>
  </r>
  <r>
    <x v="3"/>
    <n v="2.8273999999999999"/>
    <n v="2.8243999999999998"/>
    <n v="1"/>
    <n v="3"/>
  </r>
  <r>
    <x v="4"/>
    <n v="68.935900000000004"/>
    <n v="72.995099999999994"/>
    <n v="0.94439078787480257"/>
    <n v="3"/>
  </r>
  <r>
    <x v="0"/>
    <n v="54.807400000000001"/>
    <n v="58.564100000000003"/>
    <n v="0.93585319333858119"/>
    <n v="3"/>
  </r>
  <r>
    <x v="4"/>
    <n v="54.807400000000001"/>
    <n v="58.564100000000003"/>
    <n v="0.93585319333858119"/>
    <n v="3"/>
  </r>
  <r>
    <x v="0"/>
    <n v="26.467199999999998"/>
    <n v="29.079799999999999"/>
    <n v="0.91015756642067691"/>
    <n v="3"/>
  </r>
  <r>
    <x v="4"/>
    <n v="26.467199999999998"/>
    <n v="29.079799999999999"/>
    <n v="0.91015756642067691"/>
    <n v="3"/>
  </r>
  <r>
    <x v="0"/>
    <n v="871.44569999999999"/>
    <n v="904.69290000000001"/>
    <n v="0.96325029189463074"/>
    <n v="3"/>
  </r>
  <r>
    <x v="1"/>
    <n v="78.294499999999999"/>
    <n v="80.624499999999998"/>
    <n v="0.97110059597268816"/>
    <n v="3"/>
  </r>
  <r>
    <x v="2"/>
    <n v="154.23140000000001"/>
    <n v="158.92019999999999"/>
    <n v="0.97049588409780507"/>
    <n v="3"/>
  </r>
  <r>
    <x v="3"/>
    <n v="5.8292999999999999"/>
    <n v="5.8262999999999998"/>
    <n v="1"/>
    <n v="3"/>
  </r>
  <r>
    <x v="4"/>
    <n v="1109.8009"/>
    <n v="1150.0639000000001"/>
    <n v="0.96499064095482001"/>
    <n v="3"/>
  </r>
  <r>
    <x v="0"/>
    <n v="102.0288"/>
    <n v="104.07850000000001"/>
    <n v="0.98030621117714034"/>
    <n v="3"/>
  </r>
  <r>
    <x v="1"/>
    <n v="234.30869999999999"/>
    <n v="243.5463"/>
    <n v="0.96207045641834843"/>
    <n v="3"/>
  </r>
  <r>
    <x v="2"/>
    <n v="7.1664000000000003"/>
    <n v="7.1664000000000003"/>
    <n v="1"/>
    <n v="3"/>
  </r>
  <r>
    <x v="3"/>
    <n v="0.42459999999999998"/>
    <n v="0.42459999999999998"/>
    <n v="1"/>
    <n v="3"/>
  </r>
  <r>
    <x v="4"/>
    <n v="343.92849999999999"/>
    <n v="355.2158"/>
    <n v="0.96822410489623489"/>
    <n v="3"/>
  </r>
  <r>
    <x v="0"/>
    <n v="79.279799999999994"/>
    <n v="81.660200000000003"/>
    <n v="0.97084993668886432"/>
    <n v="3"/>
  </r>
  <r>
    <x v="2"/>
    <n v="1"/>
    <n v="1"/>
    <n v="1"/>
    <n v="3"/>
  </r>
  <r>
    <x v="3"/>
    <n v="0.48920000000000002"/>
    <n v="0.48920000000000002"/>
    <n v="1"/>
    <n v="3"/>
  </r>
  <r>
    <x v="4"/>
    <n v="80.769000000000005"/>
    <n v="83.1494"/>
    <n v="0.97137201230556081"/>
    <n v="3"/>
  </r>
  <r>
    <x v="0"/>
    <n v="101.16759999999999"/>
    <n v="102.7045"/>
    <n v="0.98503570924350925"/>
    <n v="3"/>
  </r>
  <r>
    <x v="2"/>
    <n v="2"/>
    <n v="2"/>
    <n v="1"/>
    <n v="3"/>
  </r>
  <r>
    <x v="3"/>
    <n v="0.20580000000000001"/>
    <n v="0.20580000000000001"/>
    <n v="1"/>
    <n v="3"/>
  </r>
  <r>
    <x v="4"/>
    <n v="103.3734"/>
    <n v="104.91030000000001"/>
    <n v="0.98535034214943629"/>
    <n v="3"/>
  </r>
  <r>
    <x v="0"/>
    <n v="257.37700000000001"/>
    <n v="262.39729999999997"/>
    <n v="0.98086756228055705"/>
    <n v="3"/>
  </r>
  <r>
    <x v="2"/>
    <n v="3.4"/>
    <n v="3.4"/>
    <n v="1"/>
    <n v="3"/>
  </r>
  <r>
    <x v="4"/>
    <n v="260.77699999999999"/>
    <n v="265.79730000000001"/>
    <n v="0.98111229873290662"/>
    <n v="3"/>
  </r>
  <r>
    <x v="0"/>
    <n v="56.257899999999999"/>
    <n v="59.621400000000001"/>
    <n v="0.94358569238561996"/>
    <n v="3"/>
  </r>
  <r>
    <x v="2"/>
    <n v="3.6"/>
    <n v="3.6"/>
    <n v="1"/>
    <n v="3"/>
  </r>
  <r>
    <x v="4"/>
    <n v="59.857900000000001"/>
    <n v="63.221400000000003"/>
    <n v="0.94679807786603898"/>
    <n v="3"/>
  </r>
  <r>
    <x v="0"/>
    <n v="76.378200000000007"/>
    <n v="77.206900000000005"/>
    <n v="0.98926650338246969"/>
    <n v="3"/>
  </r>
  <r>
    <x v="3"/>
    <n v="0.34029999999999999"/>
    <n v="0.34029999999999999"/>
    <n v="1"/>
    <n v="3"/>
  </r>
  <r>
    <x v="4"/>
    <n v="76.718500000000006"/>
    <n v="77.547200000000004"/>
    <n v="0.98931360513338973"/>
    <n v="3"/>
  </r>
  <r>
    <x v="0"/>
    <n v="366.09949999999998"/>
    <n v="376.69549999999998"/>
    <n v="0.9718711797725218"/>
    <n v="3"/>
  </r>
  <r>
    <x v="2"/>
    <n v="0.8"/>
    <n v="0.8"/>
    <n v="1"/>
    <n v="3"/>
  </r>
  <r>
    <x v="3"/>
    <n v="0.25009999999999999"/>
    <n v="0.25009999999999999"/>
    <n v="1"/>
    <n v="3"/>
  </r>
  <r>
    <x v="4"/>
    <n v="367.14960000000002"/>
    <n v="377.74560000000002"/>
    <n v="0.97194937545268567"/>
    <n v="3"/>
  </r>
  <r>
    <x v="0"/>
    <n v="121.4449"/>
    <n v="125.0711"/>
    <n v="0.97100689128023976"/>
    <n v="3"/>
  </r>
  <r>
    <x v="2"/>
    <n v="9.6"/>
    <n v="9.6"/>
    <n v="1"/>
    <n v="3"/>
  </r>
  <r>
    <x v="4"/>
    <n v="131.04490000000001"/>
    <n v="134.6711"/>
    <n v="0.97307365871371065"/>
    <n v="3"/>
  </r>
  <r>
    <x v="0"/>
    <n v="8.5006000000000004"/>
    <n v="11.2761"/>
    <n v="0.7538599338423746"/>
    <n v="0"/>
  </r>
  <r>
    <x v="4"/>
    <n v="8.5006000000000004"/>
    <n v="11.2761"/>
    <n v="0.7538599338423746"/>
    <n v="0"/>
  </r>
  <r>
    <x v="0"/>
    <n v="1168.5343"/>
    <n v="1200.7114999999999"/>
    <n v="0.97320155591080793"/>
    <n v="3"/>
  </r>
  <r>
    <x v="1"/>
    <n v="234.30869999999999"/>
    <n v="243.5463"/>
    <n v="0.96207045641834843"/>
    <n v="3"/>
  </r>
  <r>
    <x v="2"/>
    <n v="27.566400000000002"/>
    <n v="27.566400000000002"/>
    <n v="1"/>
    <n v="3"/>
  </r>
  <r>
    <x v="3"/>
    <n v="1.71"/>
    <n v="1.71"/>
    <n v="1"/>
    <n v="3"/>
  </r>
  <r>
    <x v="4"/>
    <n v="1432.1194"/>
    <n v="1473.5342000000001"/>
    <n v="0.97189423903428918"/>
    <n v="3"/>
  </r>
  <r>
    <x v="0"/>
    <n v="266.11430000000001"/>
    <n v="280.03530000000001"/>
    <n v="0.95028841006830211"/>
    <n v="3"/>
  </r>
  <r>
    <x v="1"/>
    <n v="518.92550000000006"/>
    <n v="560.62909999999999"/>
    <n v="0.92561285170534313"/>
    <n v="3"/>
  </r>
  <r>
    <x v="2"/>
    <n v="12.4032"/>
    <n v="12.780799999999999"/>
    <n v="0.97045568352528788"/>
    <n v="3"/>
  </r>
  <r>
    <x v="3"/>
    <n v="1.2081999999999999"/>
    <n v="1.2081999999999999"/>
    <n v="1"/>
    <n v="3"/>
  </r>
  <r>
    <x v="4"/>
    <n v="798.65120000000002"/>
    <n v="854.65340000000003"/>
    <n v="0.93447378785364921"/>
    <n v="3"/>
  </r>
  <r>
    <x v="0"/>
    <n v="20.503599999999999"/>
    <n v="22.236599999999999"/>
    <n v="0.92206542367088495"/>
    <n v="3"/>
  </r>
  <r>
    <x v="2"/>
    <n v="0.3"/>
    <n v="0.3"/>
    <n v="1"/>
    <n v="3"/>
  </r>
  <r>
    <x v="4"/>
    <n v="20.803599999999999"/>
    <n v="22.5366"/>
    <n v="0.92310286378601913"/>
    <n v="3"/>
  </r>
  <r>
    <x v="0"/>
    <n v="155.37629999999999"/>
    <n v="160.7535"/>
    <n v="0.96655002845972249"/>
    <n v="3"/>
  </r>
  <r>
    <x v="3"/>
    <n v="0.22589999999999999"/>
    <n v="0.22589999999999999"/>
    <n v="1"/>
    <n v="3"/>
  </r>
  <r>
    <x v="4"/>
    <n v="155.60220000000001"/>
    <n v="160.9794"/>
    <n v="0.96659696830774622"/>
    <n v="3"/>
  </r>
  <r>
    <x v="0"/>
    <n v="84.750399999999999"/>
    <n v="87.0916"/>
    <n v="0.97311795856316796"/>
    <n v="3"/>
  </r>
  <r>
    <x v="2"/>
    <n v="45.753100000000003"/>
    <n v="45.753100000000003"/>
    <n v="1"/>
    <n v="3"/>
  </r>
  <r>
    <x v="4"/>
    <n v="130.5035"/>
    <n v="132.84469999999999"/>
    <n v="0.98237641396307118"/>
    <n v="3"/>
  </r>
  <r>
    <x v="0"/>
    <n v="53.481999999999999"/>
    <n v="54.6402"/>
    <n v="0.97880315225786141"/>
    <n v="3"/>
  </r>
  <r>
    <x v="2"/>
    <n v="6.1"/>
    <n v="6.1"/>
    <n v="1"/>
    <n v="3"/>
  </r>
  <r>
    <x v="3"/>
    <n v="0.36249999999999999"/>
    <n v="0.36249999999999999"/>
    <n v="1"/>
    <n v="3"/>
  </r>
  <r>
    <x v="4"/>
    <n v="59.944499999999998"/>
    <n v="61.102699999999999"/>
    <n v="0.98104502747014455"/>
    <n v="3"/>
  </r>
  <r>
    <x v="0"/>
    <n v="46.194699999999997"/>
    <n v="47.945399999999999"/>
    <n v="0.9634855481443475"/>
    <n v="3"/>
  </r>
  <r>
    <x v="4"/>
    <n v="46.194699999999997"/>
    <n v="47.945399999999999"/>
    <n v="0.9634855481443475"/>
    <n v="3"/>
  </r>
  <r>
    <x v="0"/>
    <n v="102.5856"/>
    <n v="107.1292"/>
    <n v="0.95758766050712596"/>
    <n v="3"/>
  </r>
  <r>
    <x v="3"/>
    <n v="0.3"/>
    <n v="0.3"/>
    <n v="1"/>
    <n v="3"/>
  </r>
  <r>
    <x v="4"/>
    <n v="102.8856"/>
    <n v="107.42919999999999"/>
    <n v="0.95770609852814692"/>
    <n v="3"/>
  </r>
  <r>
    <x v="0"/>
    <n v="15.0746"/>
    <n v="15.7293"/>
    <n v="0.95837704157209791"/>
    <n v="3"/>
  </r>
  <r>
    <x v="4"/>
    <n v="15.0746"/>
    <n v="15.7293"/>
    <n v="0.95837704157209791"/>
    <n v="3"/>
  </r>
  <r>
    <x v="0"/>
    <n v="744.08150000000001"/>
    <n v="775.56110000000001"/>
    <n v="0.95941054805353188"/>
    <n v="3"/>
  </r>
  <r>
    <x v="1"/>
    <n v="518.92550000000006"/>
    <n v="560.62909999999999"/>
    <n v="0.92561285170534313"/>
    <n v="3"/>
  </r>
  <r>
    <x v="2"/>
    <n v="64.556299999999993"/>
    <n v="64.933899999999994"/>
    <n v="0.99418485567631087"/>
    <n v="3"/>
  </r>
  <r>
    <x v="3"/>
    <n v="2.0966"/>
    <n v="2.0966"/>
    <n v="1"/>
    <n v="3"/>
  </r>
  <r>
    <x v="4"/>
    <n v="1329.6599000000001"/>
    <n v="1403.2207000000001"/>
    <n v="0.94757717014864451"/>
    <n v="3"/>
  </r>
  <r>
    <x v="0"/>
    <n v="93.793000000000006"/>
    <n v="95.542299999999997"/>
    <n v="0.98169083222823816"/>
    <n v="3"/>
  </r>
  <r>
    <x v="1"/>
    <n v="116.4421"/>
    <n v="119.54940000000001"/>
    <n v="0.97400823425295313"/>
    <n v="3"/>
  </r>
  <r>
    <x v="2"/>
    <n v="45.248600000000003"/>
    <n v="45.248600000000003"/>
    <n v="1"/>
    <n v="3"/>
  </r>
  <r>
    <x v="3"/>
    <n v="0.72960000000000003"/>
    <n v="0.78010000000000002"/>
    <n v="0.93526470965260866"/>
    <n v="3"/>
  </r>
  <r>
    <x v="4"/>
    <n v="256.2133"/>
    <n v="261.12040000000002"/>
    <n v="0.98120751959632413"/>
    <n v="3"/>
  </r>
  <r>
    <x v="0"/>
    <n v="70.742199999999997"/>
    <n v="71.866200000000006"/>
    <n v="0.98435982422891433"/>
    <n v="3"/>
  </r>
  <r>
    <x v="2"/>
    <n v="0.3"/>
    <n v="0.3"/>
    <n v="1"/>
    <n v="3"/>
  </r>
  <r>
    <x v="3"/>
    <n v="0.1913"/>
    <n v="0.1913"/>
    <n v="1"/>
    <n v="3"/>
  </r>
  <r>
    <x v="4"/>
    <n v="71.233500000000006"/>
    <n v="72.357500000000002"/>
    <n v="0.98446601941747569"/>
    <n v="3"/>
  </r>
  <r>
    <x v="0"/>
    <n v="26.691800000000001"/>
    <n v="29.112500000000001"/>
    <n v="0.91685015027908978"/>
    <n v="3"/>
  </r>
  <r>
    <x v="4"/>
    <n v="26.691800000000001"/>
    <n v="29.112500000000001"/>
    <n v="0.91685015027908978"/>
    <n v="3"/>
  </r>
  <r>
    <x v="0"/>
    <n v="191.227"/>
    <n v="196.52099999999999"/>
    <n v="0.97306140310704703"/>
    <n v="3"/>
  </r>
  <r>
    <x v="1"/>
    <n v="116.4421"/>
    <n v="119.54940000000001"/>
    <n v="0.97400823425295313"/>
    <n v="3"/>
  </r>
  <r>
    <x v="2"/>
    <n v="45.5486"/>
    <n v="45.5486"/>
    <n v="1"/>
    <n v="3"/>
  </r>
  <r>
    <x v="3"/>
    <n v="0.92090000000000005"/>
    <n v="0.97140000000000004"/>
    <n v="0.9480131768581429"/>
    <n v="3"/>
  </r>
  <r>
    <x v="4"/>
    <n v="354.1386"/>
    <n v="362.59039999999999"/>
    <n v="0.97669050256156809"/>
    <n v="3"/>
  </r>
  <r>
    <x v="0"/>
    <n v="233.52279999999999"/>
    <n v="256.2355"/>
    <n v="0.91136005744715309"/>
    <n v="3"/>
  </r>
  <r>
    <x v="1"/>
    <n v="56.2669"/>
    <n v="57.166800000000002"/>
    <n v="0.98425834575312943"/>
    <n v="3"/>
  </r>
  <r>
    <x v="2"/>
    <n v="58.584800000000001"/>
    <n v="58.962400000000002"/>
    <n v="0.99359591875500319"/>
    <n v="3"/>
  </r>
  <r>
    <x v="4"/>
    <n v="348.37450000000001"/>
    <n v="372.36470000000003"/>
    <n v="0.93557337739049917"/>
    <n v="3"/>
  </r>
  <r>
    <x v="0"/>
    <n v="34.491999999999997"/>
    <n v="36.406300000000002"/>
    <n v="0.94741844131372865"/>
    <n v="3"/>
  </r>
  <r>
    <x v="2"/>
    <n v="28.419599999999999"/>
    <n v="30.0748"/>
    <n v="0.94496389003418146"/>
    <n v="3"/>
  </r>
  <r>
    <x v="4"/>
    <n v="62.9116"/>
    <n v="66.481099999999998"/>
    <n v="0.94630804845286853"/>
    <n v="3"/>
  </r>
  <r>
    <x v="0"/>
    <n v="24.248200000000001"/>
    <n v="24.3597"/>
    <n v="0.99542276793228157"/>
    <n v="3"/>
  </r>
  <r>
    <x v="4"/>
    <n v="24.248200000000001"/>
    <n v="24.3597"/>
    <n v="0.99542276793228157"/>
    <n v="3"/>
  </r>
  <r>
    <x v="0"/>
    <n v="47.143999999999998"/>
    <n v="47.1736"/>
    <n v="0.99937253039835838"/>
    <n v="3"/>
  </r>
  <r>
    <x v="4"/>
    <n v="47.143999999999998"/>
    <n v="47.1736"/>
    <n v="0.99937253039835838"/>
    <n v="3"/>
  </r>
  <r>
    <x v="0"/>
    <n v="9.7089999999999996"/>
    <n v="9.9120000000000008"/>
    <n v="0.97951977401129942"/>
    <n v="3"/>
  </r>
  <r>
    <x v="4"/>
    <n v="9.7089999999999996"/>
    <n v="9.9120000000000008"/>
    <n v="0.97951977401129942"/>
    <n v="3"/>
  </r>
  <r>
    <x v="0"/>
    <n v="349.11599999999999"/>
    <n v="374.08710000000002"/>
    <n v="0.93324789868455771"/>
    <n v="3"/>
  </r>
  <r>
    <x v="1"/>
    <n v="56.2669"/>
    <n v="57.166800000000002"/>
    <n v="0.98425834575312943"/>
    <n v="3"/>
  </r>
  <r>
    <x v="2"/>
    <n v="87.004400000000004"/>
    <n v="89.037199999999999"/>
    <n v="0.97716909336771596"/>
    <n v="3"/>
  </r>
  <r>
    <x v="4"/>
    <n v="492.38729999999998"/>
    <n v="520.29110000000003"/>
    <n v="0.94636886927337405"/>
    <n v="3"/>
  </r>
  <r>
    <x v="0"/>
    <n v="113.1639"/>
    <n v="121.4572"/>
    <n v="0.93171833370108981"/>
    <n v="3"/>
  </r>
  <r>
    <x v="2"/>
    <n v="88.188800000000001"/>
    <n v="91.988799999999998"/>
    <n v="0.95869062320630338"/>
    <n v="3"/>
  </r>
  <r>
    <x v="3"/>
    <n v="1.1566000000000001"/>
    <n v="1.1566000000000001"/>
    <n v="1"/>
    <n v="3"/>
  </r>
  <r>
    <x v="4"/>
    <n v="202.5093"/>
    <n v="214.6026"/>
    <n v="0.94364793343603481"/>
    <n v="3"/>
  </r>
  <r>
    <x v="0"/>
    <n v="59.319499999999998"/>
    <n v="60.881300000000003"/>
    <n v="0.97434680271281982"/>
    <n v="3"/>
  </r>
  <r>
    <x v="1"/>
    <n v="34.513199999999998"/>
    <n v="35.561500000000002"/>
    <n v="0.97052149093823381"/>
    <n v="3"/>
  </r>
  <r>
    <x v="2"/>
    <n v="1.1217999999999999"/>
    <n v="1.1217999999999999"/>
    <n v="1"/>
    <n v="3"/>
  </r>
  <r>
    <x v="3"/>
    <n v="0.28789999999999999"/>
    <n v="0.28789999999999999"/>
    <n v="1"/>
    <n v="3"/>
  </r>
  <r>
    <x v="4"/>
    <n v="95.242400000000004"/>
    <n v="97.852500000000006"/>
    <n v="0.97332617970925628"/>
    <n v="3"/>
  </r>
  <r>
    <x v="0"/>
    <n v="22.3962"/>
    <n v="22.807300000000001"/>
    <n v="0.98197506938567913"/>
    <n v="3"/>
  </r>
  <r>
    <x v="2"/>
    <n v="11.6614"/>
    <n v="18.039000000000001"/>
    <n v="0.64645490326514776"/>
    <n v="0"/>
  </r>
  <r>
    <x v="4"/>
    <n v="34.057600000000001"/>
    <n v="40.846299999999999"/>
    <n v="0.83379889977794808"/>
    <n v="1.5"/>
  </r>
  <r>
    <x v="0"/>
    <n v="81.715699999999998"/>
    <n v="83.688599999999994"/>
    <n v="0.97642570194745759"/>
    <n v="3"/>
  </r>
  <r>
    <x v="1"/>
    <n v="34.513199999999998"/>
    <n v="35.561500000000002"/>
    <n v="0.97052149093823381"/>
    <n v="3"/>
  </r>
  <r>
    <x v="2"/>
    <n v="12.783200000000001"/>
    <n v="19.160799999999998"/>
    <n v="0.66715377228508199"/>
    <n v="0"/>
  </r>
  <r>
    <x v="3"/>
    <n v="0.28789999999999999"/>
    <n v="0.28789999999999999"/>
    <n v="1"/>
    <n v="3"/>
  </r>
  <r>
    <x v="4"/>
    <n v="129.30000000000001"/>
    <n v="138.69880000000001"/>
    <n v="0.93223589533579243"/>
    <n v="3"/>
  </r>
  <r>
    <x v="0"/>
    <n v="5142.0715"/>
    <n v="5324.0443999999998"/>
    <n v="0.965820551759486"/>
    <n v="3"/>
  </r>
  <r>
    <x v="1"/>
    <n v="1178.6717000000001"/>
    <n v="1241.0834"/>
    <n v="0.94971192105220326"/>
    <n v="3"/>
  </r>
  <r>
    <x v="2"/>
    <n v="744.85699999999997"/>
    <n v="767.59960000000001"/>
    <n v="0.97037179279405561"/>
    <n v="3"/>
  </r>
  <r>
    <x v="3"/>
    <n v="14.0808"/>
    <n v="14.128299999999999"/>
    <n v="0.99663795361083785"/>
    <n v="3"/>
  </r>
  <r>
    <x v="4"/>
    <n v="7079.6809999999996"/>
    <n v="7346.8557000000001"/>
    <n v="0.96363414351529997"/>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数据透视表9" cacheId="4" applyNumberFormats="0" applyBorderFormats="0" applyFontFormats="0" applyPatternFormats="0" applyAlignmentFormats="0" applyWidthHeightFormats="1" dataCaption="值" updatedVersion="3" minRefreshableVersion="3" showCalcMbrs="0" useAutoFormatting="1" rowGrandTotals="0" itemPrintTitles="1" createdVersion="3" indent="0" showHeaders="0" outline="1" outlineData="1" multipleFieldFilters="0">
  <location ref="K3:M9" firstHeaderRow="0" firstDataRow="1" firstDataCol="1"/>
  <pivotFields count="7">
    <pivotField axis="axisRow" showAll="0" defaultSubtotal="0">
      <items count="6">
        <item x="4"/>
        <item x="1"/>
        <item x="0"/>
        <item x="2"/>
        <item x="5"/>
        <item x="3"/>
      </items>
    </pivotField>
    <pivotField showAll="0" defaultSubtotal="0"/>
    <pivotField showAll="0" defaultSubtotal="0"/>
    <pivotField showAll="0" defaultSubtotal="0"/>
    <pivotField showAll="0" defaultSubtotal="0"/>
    <pivotField name="离职率2" dataField="1" showAll="0" defaultSubtotal="0"/>
    <pivotField dataField="1" showAll="0" defaultSubtotal="0"/>
  </pivotFields>
  <rowFields count="1">
    <field x="0"/>
  </rowFields>
  <rowItems count="6">
    <i>
      <x/>
    </i>
    <i>
      <x v="1"/>
    </i>
    <i>
      <x v="2"/>
    </i>
    <i>
      <x v="3"/>
    </i>
    <i>
      <x v="4"/>
    </i>
    <i>
      <x v="5"/>
    </i>
  </rowItems>
  <colFields count="1">
    <field x="-2"/>
  </colFields>
  <colItems count="2">
    <i>
      <x/>
    </i>
    <i i="1">
      <x v="1"/>
    </i>
  </colItems>
  <dataFields count="2">
    <dataField name="平均值项:得分" fld="6" subtotal="average" baseField="0" baseItem="0" numFmtId="182"/>
    <dataField name="平均值项:离职率" fld="5" subtotal="average" baseField="0" baseItem="0" numFmtId="182"/>
  </dataFields>
  <formats count="6">
    <format dxfId="399">
      <pivotArea outline="0" collapsedLevelsAreSubtotals="1" fieldPosition="0"/>
    </format>
    <format dxfId="398">
      <pivotArea dataOnly="0" labelOnly="1" grandRow="1" outline="0" fieldPosition="0"/>
    </format>
    <format dxfId="397">
      <pivotArea type="all" dataOnly="0" outline="0" fieldPosition="0"/>
    </format>
    <format dxfId="396">
      <pivotArea type="all" dataOnly="0" outline="0" fieldPosition="0"/>
    </format>
    <format dxfId="395">
      <pivotArea outline="0" collapsedLevelsAreSubtotals="1" fieldPosition="0">
        <references count="1">
          <reference field="4294967294" count="1" selected="0">
            <x v="0"/>
          </reference>
        </references>
      </pivotArea>
    </format>
    <format dxfId="39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数据透视表10" cacheId="5" applyNumberFormats="0" applyBorderFormats="0" applyFontFormats="0" applyPatternFormats="0" applyAlignmentFormats="0" applyWidthHeightFormats="1" dataCaption="0" updatedVersion="3" minRefreshableVersion="3" showCalcMbrs="0" useAutoFormatting="1" rowGrandTotals="0" itemPrintTitles="1" createdVersion="3" indent="0" showHeaders="0" outline="1" outlineData="1" multipleFieldFilters="0">
  <location ref="I3:K8" firstHeaderRow="0" firstDataRow="1" firstDataCol="1"/>
  <pivotFields count="6">
    <pivotField axis="axisRow" showAll="0" defaultSubtotal="0">
      <items count="5">
        <item x="3"/>
        <item x="0"/>
        <item x="1"/>
        <item x="4"/>
        <item x="2"/>
      </items>
    </pivotField>
    <pivotField showAll="0" defaultSubtotal="0"/>
    <pivotField showAll="0" defaultSubtotal="0"/>
    <pivotField showAll="0" defaultSubtotal="0"/>
    <pivotField dataField="1" showAll="0" defaultSubtotal="0"/>
    <pivotField dataField="1" showAll="0" defaultSubtotal="0"/>
  </pivotFields>
  <rowFields count="1">
    <field x="0"/>
  </rowFields>
  <rowItems count="5">
    <i>
      <x/>
    </i>
    <i>
      <x v="1"/>
    </i>
    <i>
      <x v="2"/>
    </i>
    <i>
      <x v="3"/>
    </i>
    <i>
      <x v="4"/>
    </i>
  </rowItems>
  <colFields count="1">
    <field x="-2"/>
  </colFields>
  <colItems count="2">
    <i>
      <x/>
    </i>
    <i i="1">
      <x v="1"/>
    </i>
  </colItems>
  <dataFields count="2">
    <dataField name="平均值项:得分" fld="5" subtotal="average" baseField="0" baseItem="0"/>
    <dataField name="平均值项:犹豫期内电话回访成功率" fld="4" subtotal="average" baseField="0" baseItem="0" numFmtId="10"/>
  </dataFields>
  <formats count="3">
    <format dxfId="393">
      <pivotArea type="all" dataOnly="0" outline="0" fieldPosition="0"/>
    </format>
    <format dxfId="392">
      <pivotArea outline="0" collapsedLevelsAreSubtotals="1" fieldPosition="0">
        <references count="1">
          <reference field="4294967294" count="1" selected="0">
            <x v="1"/>
          </reference>
        </references>
      </pivotArea>
    </format>
    <format dxfId="391">
      <pivotArea dataOnly="0" fieldPosition="0">
        <references count="1">
          <reference field="0" count="0"/>
        </references>
      </pivotArea>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数据透视表11" cacheId="6" applyNumberFormats="0" applyBorderFormats="0" applyFontFormats="0" applyPatternFormats="0" applyAlignmentFormats="0" applyWidthHeightFormats="1" dataCaption="值" updatedVersion="3" minRefreshableVersion="3" showCalcMbrs="0" useAutoFormatting="1" rowGrandTotals="0" itemPrintTitles="1" createdVersion="3" indent="0" showHeaders="0" outline="1" outlineData="1" multipleFieldFilters="0">
  <location ref="I3:K8" firstHeaderRow="0" firstDataRow="1" firstDataCol="1"/>
  <pivotFields count="6">
    <pivotField axis="axisRow" showAll="0">
      <items count="6">
        <item x="3"/>
        <item x="0"/>
        <item x="1"/>
        <item x="4"/>
        <item x="2"/>
        <item t="default"/>
      </items>
    </pivotField>
    <pivotField showAll="0"/>
    <pivotField showAll="0"/>
    <pivotField showAll="0"/>
    <pivotField dataField="1" showAll="0"/>
    <pivotField dataField="1" showAll="0"/>
  </pivotFields>
  <rowFields count="1">
    <field x="0"/>
  </rowFields>
  <rowItems count="5">
    <i>
      <x/>
    </i>
    <i>
      <x v="1"/>
    </i>
    <i>
      <x v="2"/>
    </i>
    <i>
      <x v="3"/>
    </i>
    <i>
      <x v="4"/>
    </i>
  </rowItems>
  <colFields count="1">
    <field x="-2"/>
  </colFields>
  <colItems count="2">
    <i>
      <x/>
    </i>
    <i i="1">
      <x v="1"/>
    </i>
  </colItems>
  <dataFields count="2">
    <dataField name="平均值项:得分" fld="5" subtotal="average" baseField="0" baseItem="0" numFmtId="182"/>
    <dataField name="平均值项:新契约回访完成率" fld="4" subtotal="average" baseField="0" baseItem="0" numFmtId="10"/>
  </dataFields>
  <formats count="9">
    <format dxfId="390">
      <pivotArea outline="0" collapsedLevelsAreSubtotals="1" fieldPosition="0">
        <references count="1">
          <reference field="4294967294" count="1" selected="0">
            <x v="0"/>
          </reference>
        </references>
      </pivotArea>
    </format>
    <format dxfId="389">
      <pivotArea collapsedLevelsAreSubtotals="1" fieldPosition="0">
        <references count="2">
          <reference field="4294967294" count="1" selected="0">
            <x v="0"/>
          </reference>
          <reference field="0" count="4">
            <x v="0"/>
            <x v="1"/>
            <x v="2"/>
            <x v="3"/>
          </reference>
        </references>
      </pivotArea>
    </format>
    <format dxfId="388">
      <pivotArea outline="0" collapsedLevelsAreSubtotals="1" fieldPosition="0">
        <references count="1">
          <reference field="4294967294" count="1" selected="0">
            <x v="1"/>
          </reference>
        </references>
      </pivotArea>
    </format>
    <format dxfId="387">
      <pivotArea outline="0" collapsedLevelsAreSubtotals="1" fieldPosition="0">
        <references count="1">
          <reference field="4294967294" count="1" selected="0">
            <x v="1"/>
          </reference>
        </references>
      </pivotArea>
    </format>
    <format dxfId="386">
      <pivotArea outline="0" collapsedLevelsAreSubtotals="1" fieldPosition="0"/>
    </format>
    <format dxfId="385">
      <pivotArea dataOnly="0" labelOnly="1" fieldPosition="0">
        <references count="1">
          <reference field="0" count="0"/>
        </references>
      </pivotArea>
    </format>
    <format dxfId="384">
      <pivotArea collapsedLevelsAreSubtotals="1" fieldPosition="0">
        <references count="1">
          <reference field="0" count="1">
            <x v="4"/>
          </reference>
        </references>
      </pivotArea>
    </format>
    <format dxfId="383">
      <pivotArea outline="0" collapsedLevelsAreSubtotals="1" fieldPosition="0">
        <references count="1">
          <reference field="4294967294" count="1" selected="0">
            <x v="0"/>
          </reference>
        </references>
      </pivotArea>
    </format>
    <format dxfId="38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数据透视表12" cacheId="7" applyNumberFormats="0" applyBorderFormats="0" applyFontFormats="0" applyPatternFormats="0" applyAlignmentFormats="0" applyWidthHeightFormats="1" dataCaption="值" updatedVersion="3" minRefreshableVersion="3" showCalcMbrs="0" useAutoFormatting="1" rowGrandTotals="0" itemPrintTitles="1" createdVersion="3" indent="0" outline="1" outlineData="1" multipleFieldFilters="0">
  <location ref="G5:I11" firstHeaderRow="1" firstDataRow="2" firstDataCol="1"/>
  <pivotFields count="5">
    <pivotField axis="axisRow" showAll="0">
      <items count="6">
        <item x="1"/>
        <item x="0"/>
        <item x="3"/>
        <item x="4"/>
        <item x="2"/>
        <item t="default"/>
      </items>
    </pivotField>
    <pivotField showAll="0"/>
    <pivotField showAll="0"/>
    <pivotField dataField="1" showAll="0"/>
    <pivotField dataField="1" showAll="0"/>
  </pivotFields>
  <rowFields count="1">
    <field x="0"/>
  </rowFields>
  <rowItems count="5">
    <i>
      <x/>
    </i>
    <i>
      <x v="1"/>
    </i>
    <i>
      <x v="2"/>
    </i>
    <i>
      <x v="3"/>
    </i>
    <i>
      <x v="4"/>
    </i>
  </rowItems>
  <colFields count="1">
    <field x="-2"/>
  </colFields>
  <colItems count="2">
    <i>
      <x/>
    </i>
    <i i="1">
      <x v="1"/>
    </i>
  </colItems>
  <dataFields count="2">
    <dataField name="平均值项:得分" fld="4" subtotal="average" baseField="0" baseItem="0" numFmtId="182"/>
    <dataField name="平均值项:保费继续率" fld="3" subtotal="average" baseField="0" baseItem="0" numFmtId="10"/>
  </dataFields>
  <formats count="3">
    <format dxfId="381">
      <pivotArea outline="0" collapsedLevelsAreSubtotals="1" fieldPosition="0">
        <references count="1">
          <reference field="4294967294" count="1" selected="0">
            <x v="0"/>
          </reference>
        </references>
      </pivotArea>
    </format>
    <format dxfId="380">
      <pivotArea outline="0" collapsedLevelsAreSubtotals="1" fieldPosition="0">
        <references count="1">
          <reference field="4294967294" count="1" selected="0">
            <x v="1"/>
          </reference>
        </references>
      </pivotArea>
    </format>
    <format dxfId="379">
      <pivotArea dataOnly="0" fieldPosition="0">
        <references count="1">
          <reference field="0" count="0"/>
        </references>
      </pivotArea>
    </format>
  </formats>
  <pivotTableStyleInfo name="PivotStyleLight16" showRowHeaders="1" showColHeaders="1" showRowStripes="0" showColStripes="0" showLastColumn="1"/>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hyperlink" Target="mailto:JN.LuBao_Guo@hengansl.com" TargetMode="External"/><Relationship Id="rId2" Type="http://schemas.openxmlformats.org/officeDocument/2006/relationships/hyperlink" Target="mailto:dl.shuai_liang@hengansl.com" TargetMode="External"/><Relationship Id="rId1" Type="http://schemas.openxmlformats.org/officeDocument/2006/relationships/hyperlink" Target="mailto:TJ.Alisa_Yu@hengansl.com" TargetMode="External"/><Relationship Id="rId5" Type="http://schemas.openxmlformats.org/officeDocument/2006/relationships/hyperlink" Target="mailto:CD.Summer_Zhao@hengansl.com" TargetMode="External"/><Relationship Id="rId4" Type="http://schemas.openxmlformats.org/officeDocument/2006/relationships/hyperlink" Target="mailto:qd.haisheng_sui@hengansl.co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tabColor rgb="FF00B0F0"/>
  </sheetPr>
  <dimension ref="A1:M89"/>
  <sheetViews>
    <sheetView workbookViewId="0">
      <selection activeCell="K21" sqref="K21"/>
    </sheetView>
  </sheetViews>
  <sheetFormatPr defaultRowHeight="13.5"/>
  <cols>
    <col min="3" max="4" width="20" customWidth="1"/>
    <col min="5" max="5" width="18.375" customWidth="1"/>
    <col min="10" max="11" width="5.25" customWidth="1"/>
    <col min="12" max="12" width="17.375" customWidth="1"/>
    <col min="13" max="13" width="19.625" customWidth="1"/>
  </cols>
  <sheetData>
    <row r="1" spans="1:13" ht="15" thickBot="1">
      <c r="C1" s="1288">
        <v>3.1</v>
      </c>
      <c r="D1" s="1288">
        <v>3.2</v>
      </c>
      <c r="E1" s="1288">
        <v>3.3</v>
      </c>
    </row>
    <row r="2" spans="1:13" ht="81.75" customHeight="1" thickBot="1">
      <c r="A2" s="1289" t="s">
        <v>2311</v>
      </c>
      <c r="B2" s="1289" t="s">
        <v>2312</v>
      </c>
      <c r="C2" s="1290" t="s">
        <v>1219</v>
      </c>
      <c r="D2" s="1290" t="s">
        <v>1220</v>
      </c>
      <c r="E2" s="1290" t="s">
        <v>1221</v>
      </c>
      <c r="F2" s="1289" t="s">
        <v>2313</v>
      </c>
      <c r="G2" s="1289" t="s">
        <v>2314</v>
      </c>
      <c r="K2" s="1415"/>
      <c r="L2" s="1415"/>
      <c r="M2" s="1415"/>
    </row>
    <row r="3" spans="1:13" ht="15" thickBot="1">
      <c r="A3" s="1291" t="s">
        <v>2315</v>
      </c>
      <c r="B3" s="1292" t="s">
        <v>2316</v>
      </c>
      <c r="C3" s="1293">
        <v>0</v>
      </c>
      <c r="D3" s="1293">
        <v>4</v>
      </c>
      <c r="E3" s="1294">
        <v>0</v>
      </c>
      <c r="F3" s="1295">
        <f>C3/SUM(D3:E3)</f>
        <v>0</v>
      </c>
      <c r="G3" s="1296">
        <f>IF(F3&lt;=0.15,3,IF(F3&lt;=0.3,1.5,0))</f>
        <v>3</v>
      </c>
      <c r="K3" s="401"/>
      <c r="L3" s="401" t="s">
        <v>2360</v>
      </c>
      <c r="M3" s="401" t="s">
        <v>2362</v>
      </c>
    </row>
    <row r="4" spans="1:13" ht="15" thickBot="1">
      <c r="A4" s="1297" t="s">
        <v>2317</v>
      </c>
      <c r="B4" s="39" t="s">
        <v>2316</v>
      </c>
      <c r="C4" s="1298">
        <v>2</v>
      </c>
      <c r="D4" s="1298">
        <v>15</v>
      </c>
      <c r="E4" s="1299">
        <v>1</v>
      </c>
      <c r="F4" s="1295">
        <f t="shared" ref="F4:F62" si="0">C4/SUM(D4:E4)</f>
        <v>0.125</v>
      </c>
      <c r="G4" s="1296">
        <f t="shared" ref="G4:G62" si="1">IF(F4&lt;=0.15,3,IF(F4&lt;=0.3,1.5,0))</f>
        <v>3</v>
      </c>
      <c r="K4" s="1300" t="s">
        <v>2258</v>
      </c>
      <c r="L4" s="1345">
        <v>2.1428571428571428</v>
      </c>
      <c r="M4" s="1345">
        <v>0.14166666666666666</v>
      </c>
    </row>
    <row r="5" spans="1:13" ht="15" thickBot="1">
      <c r="A5" s="1297" t="s">
        <v>2318</v>
      </c>
      <c r="B5" s="39" t="s">
        <v>2316</v>
      </c>
      <c r="C5" s="1298">
        <v>4</v>
      </c>
      <c r="D5" s="1298">
        <v>8</v>
      </c>
      <c r="E5" s="1299">
        <v>4</v>
      </c>
      <c r="F5" s="1295">
        <f t="shared" si="0"/>
        <v>0.33333333333333331</v>
      </c>
      <c r="G5" s="1296">
        <f t="shared" si="1"/>
        <v>0</v>
      </c>
      <c r="K5" s="1300" t="s">
        <v>2255</v>
      </c>
      <c r="L5" s="1345">
        <v>1.5</v>
      </c>
      <c r="M5" s="1345">
        <v>0.24653044310182864</v>
      </c>
    </row>
    <row r="6" spans="1:13" ht="15" thickBot="1">
      <c r="A6" s="1297" t="s">
        <v>2319</v>
      </c>
      <c r="B6" s="39" t="s">
        <v>2316</v>
      </c>
      <c r="C6" s="1298">
        <v>2</v>
      </c>
      <c r="D6" s="1298">
        <v>8</v>
      </c>
      <c r="E6" s="1299">
        <v>3</v>
      </c>
      <c r="F6" s="1295">
        <f t="shared" si="0"/>
        <v>0.18181818181818182</v>
      </c>
      <c r="G6" s="1296">
        <f t="shared" si="1"/>
        <v>1.5</v>
      </c>
      <c r="K6" s="1300" t="s">
        <v>2253</v>
      </c>
      <c r="L6" s="1345">
        <v>2.7</v>
      </c>
      <c r="M6" s="1345">
        <v>6.6666666666666666E-2</v>
      </c>
    </row>
    <row r="7" spans="1:13" ht="15" thickBot="1">
      <c r="A7" s="1297" t="s">
        <v>2320</v>
      </c>
      <c r="B7" s="39" t="s">
        <v>2316</v>
      </c>
      <c r="C7" s="1298">
        <v>1</v>
      </c>
      <c r="D7" s="1298">
        <v>4</v>
      </c>
      <c r="E7" s="1299">
        <v>2</v>
      </c>
      <c r="F7" s="1295">
        <f t="shared" si="0"/>
        <v>0.16666666666666666</v>
      </c>
      <c r="G7" s="1296">
        <f t="shared" si="1"/>
        <v>1.5</v>
      </c>
      <c r="K7" s="1300" t="s">
        <v>2256</v>
      </c>
      <c r="L7" s="1345">
        <v>0.8571428571428571</v>
      </c>
      <c r="M7" s="1345">
        <v>0.28888293948263966</v>
      </c>
    </row>
    <row r="8" spans="1:13" ht="15" thickBot="1">
      <c r="A8" s="1302" t="s">
        <v>2321</v>
      </c>
      <c r="B8" s="1303" t="s">
        <v>2316</v>
      </c>
      <c r="C8" s="1304">
        <v>1</v>
      </c>
      <c r="D8" s="1304">
        <v>3</v>
      </c>
      <c r="E8" s="1305">
        <v>2</v>
      </c>
      <c r="F8" s="1295">
        <f t="shared" si="0"/>
        <v>0.2</v>
      </c>
      <c r="G8" s="1296">
        <f t="shared" si="1"/>
        <v>1.5</v>
      </c>
      <c r="K8" s="1300" t="s">
        <v>2254</v>
      </c>
      <c r="L8" s="1345">
        <v>2.5499999999999998</v>
      </c>
      <c r="M8" s="1345">
        <v>0.12650793650793651</v>
      </c>
    </row>
    <row r="9" spans="1:13" ht="15" thickBot="1">
      <c r="A9" s="1291" t="s">
        <v>2315</v>
      </c>
      <c r="B9" s="1306" t="s">
        <v>2322</v>
      </c>
      <c r="C9" s="1293">
        <v>1</v>
      </c>
      <c r="D9" s="1293">
        <v>7</v>
      </c>
      <c r="E9" s="1294">
        <v>1</v>
      </c>
      <c r="F9" s="1295">
        <f t="shared" si="0"/>
        <v>0.125</v>
      </c>
      <c r="G9" s="1296">
        <f t="shared" si="1"/>
        <v>3</v>
      </c>
      <c r="K9" s="1300" t="s">
        <v>2257</v>
      </c>
      <c r="L9" s="1345">
        <v>0.9</v>
      </c>
      <c r="M9" s="1345">
        <v>0.39246605369580029</v>
      </c>
    </row>
    <row r="10" spans="1:13" ht="15" thickBot="1">
      <c r="A10" s="1297" t="s">
        <v>2323</v>
      </c>
      <c r="B10" s="39" t="s">
        <v>2322</v>
      </c>
      <c r="C10" s="1298">
        <v>22</v>
      </c>
      <c r="D10" s="1298">
        <v>74</v>
      </c>
      <c r="E10" s="1299">
        <v>13</v>
      </c>
      <c r="F10" s="1295">
        <f t="shared" si="0"/>
        <v>0.25287356321839083</v>
      </c>
      <c r="G10" s="1296">
        <f t="shared" si="1"/>
        <v>1.5</v>
      </c>
    </row>
    <row r="11" spans="1:13" ht="15" thickBot="1">
      <c r="A11" s="1297" t="s">
        <v>2324</v>
      </c>
      <c r="B11" s="39" t="s">
        <v>2322</v>
      </c>
      <c r="C11" s="1298">
        <v>2</v>
      </c>
      <c r="D11" s="1298">
        <v>18</v>
      </c>
      <c r="E11" s="1299">
        <v>6</v>
      </c>
      <c r="F11" s="1295">
        <f t="shared" si="0"/>
        <v>8.3333333333333329E-2</v>
      </c>
      <c r="G11" s="1296">
        <f t="shared" si="1"/>
        <v>3</v>
      </c>
    </row>
    <row r="12" spans="1:13" ht="15" thickBot="1">
      <c r="A12" s="1297" t="s">
        <v>2325</v>
      </c>
      <c r="B12" s="39" t="s">
        <v>2322</v>
      </c>
      <c r="C12" s="1298">
        <v>6</v>
      </c>
      <c r="D12" s="1298">
        <v>28</v>
      </c>
      <c r="E12" s="1299">
        <v>5</v>
      </c>
      <c r="F12" s="1295">
        <f t="shared" si="0"/>
        <v>0.18181818181818182</v>
      </c>
      <c r="G12" s="1296">
        <f t="shared" si="1"/>
        <v>1.5</v>
      </c>
    </row>
    <row r="13" spans="1:13" ht="15" thickBot="1">
      <c r="A13" s="1297" t="s">
        <v>2326</v>
      </c>
      <c r="B13" s="39" t="s">
        <v>2322</v>
      </c>
      <c r="C13" s="1298">
        <v>0</v>
      </c>
      <c r="D13" s="1298">
        <v>0</v>
      </c>
      <c r="E13" s="1299">
        <v>0</v>
      </c>
      <c r="F13" s="1295"/>
      <c r="G13" s="1296"/>
      <c r="K13" t="s">
        <v>2383</v>
      </c>
    </row>
    <row r="14" spans="1:13" ht="15" thickBot="1">
      <c r="A14" s="1302" t="s">
        <v>2327</v>
      </c>
      <c r="B14" s="1303" t="s">
        <v>2322</v>
      </c>
      <c r="C14" s="1304">
        <v>1</v>
      </c>
      <c r="D14" s="1304">
        <v>7</v>
      </c>
      <c r="E14" s="1305">
        <v>2</v>
      </c>
      <c r="F14" s="1295">
        <f t="shared" si="0"/>
        <v>0.1111111111111111</v>
      </c>
      <c r="G14" s="1296">
        <f t="shared" si="1"/>
        <v>3</v>
      </c>
      <c r="K14" t="s">
        <v>2381</v>
      </c>
    </row>
    <row r="15" spans="1:13" ht="15" thickBot="1">
      <c r="A15" s="1291" t="s">
        <v>2253</v>
      </c>
      <c r="B15" s="1292" t="s">
        <v>2328</v>
      </c>
      <c r="C15" s="1307">
        <v>1</v>
      </c>
      <c r="D15" s="1307">
        <v>8</v>
      </c>
      <c r="E15" s="1308">
        <v>0</v>
      </c>
      <c r="F15" s="1295">
        <f t="shared" si="0"/>
        <v>0.125</v>
      </c>
      <c r="G15" s="1296">
        <f t="shared" si="1"/>
        <v>3</v>
      </c>
      <c r="K15" t="s">
        <v>2382</v>
      </c>
    </row>
    <row r="16" spans="1:13" ht="15" thickBot="1">
      <c r="A16" s="1297" t="s">
        <v>2255</v>
      </c>
      <c r="B16" s="39" t="s">
        <v>2328</v>
      </c>
      <c r="C16" s="1309">
        <v>8</v>
      </c>
      <c r="D16" s="1309">
        <v>58</v>
      </c>
      <c r="E16" s="1310">
        <v>13</v>
      </c>
      <c r="F16" s="1295">
        <f t="shared" si="0"/>
        <v>0.11267605633802817</v>
      </c>
      <c r="G16" s="1296">
        <f t="shared" si="1"/>
        <v>3</v>
      </c>
    </row>
    <row r="17" spans="1:11" ht="15" thickBot="1">
      <c r="A17" s="1297" t="s">
        <v>2256</v>
      </c>
      <c r="B17" s="39" t="s">
        <v>2328</v>
      </c>
      <c r="C17" s="1309">
        <v>0</v>
      </c>
      <c r="D17" s="1309">
        <v>0</v>
      </c>
      <c r="E17" s="1310">
        <v>0</v>
      </c>
      <c r="F17" s="1295"/>
      <c r="G17" s="1296"/>
    </row>
    <row r="18" spans="1:11" ht="15" thickBot="1">
      <c r="A18" s="1297" t="s">
        <v>2257</v>
      </c>
      <c r="B18" s="39" t="s">
        <v>2328</v>
      </c>
      <c r="C18" s="1309">
        <v>4</v>
      </c>
      <c r="D18" s="1309">
        <v>4</v>
      </c>
      <c r="E18" s="1310">
        <v>0</v>
      </c>
      <c r="F18" s="1295">
        <f t="shared" si="0"/>
        <v>1</v>
      </c>
      <c r="G18" s="1296">
        <f t="shared" si="1"/>
        <v>0</v>
      </c>
    </row>
    <row r="19" spans="1:11" ht="15" thickBot="1">
      <c r="A19" s="1297" t="s">
        <v>2258</v>
      </c>
      <c r="B19" s="39" t="s">
        <v>2328</v>
      </c>
      <c r="C19" s="1309">
        <v>0</v>
      </c>
      <c r="D19" s="1309">
        <v>12</v>
      </c>
      <c r="E19" s="1310">
        <v>1</v>
      </c>
      <c r="F19" s="1295">
        <f t="shared" si="0"/>
        <v>0</v>
      </c>
      <c r="G19" s="1296">
        <f t="shared" si="1"/>
        <v>3</v>
      </c>
      <c r="K19" s="860" t="s">
        <v>2466</v>
      </c>
    </row>
    <row r="20" spans="1:11" ht="15" thickBot="1">
      <c r="A20" s="1302" t="s">
        <v>2254</v>
      </c>
      <c r="B20" s="1303" t="s">
        <v>2328</v>
      </c>
      <c r="C20" s="1311">
        <v>3</v>
      </c>
      <c r="D20" s="1311">
        <v>14</v>
      </c>
      <c r="E20" s="1312">
        <v>7</v>
      </c>
      <c r="F20" s="1295">
        <f t="shared" si="0"/>
        <v>0.14285714285714285</v>
      </c>
      <c r="G20" s="1296">
        <f t="shared" si="1"/>
        <v>3</v>
      </c>
      <c r="K20" s="860" t="s">
        <v>2467</v>
      </c>
    </row>
    <row r="21" spans="1:11" ht="15" thickBot="1">
      <c r="A21" s="1291" t="s">
        <v>2329</v>
      </c>
      <c r="B21" s="1292" t="s">
        <v>2330</v>
      </c>
      <c r="C21" s="1293"/>
      <c r="D21" s="1293">
        <v>3</v>
      </c>
      <c r="E21" s="1294"/>
      <c r="F21" s="1295">
        <f t="shared" si="0"/>
        <v>0</v>
      </c>
      <c r="G21" s="1296">
        <f t="shared" si="1"/>
        <v>3</v>
      </c>
      <c r="K21" s="860" t="s">
        <v>2468</v>
      </c>
    </row>
    <row r="22" spans="1:11" ht="15" thickBot="1">
      <c r="A22" s="1297" t="s">
        <v>2323</v>
      </c>
      <c r="B22" s="39" t="s">
        <v>2330</v>
      </c>
      <c r="C22" s="1298">
        <v>9</v>
      </c>
      <c r="D22" s="1298">
        <v>11</v>
      </c>
      <c r="E22" s="1299">
        <v>9</v>
      </c>
      <c r="F22" s="1295">
        <f t="shared" si="0"/>
        <v>0.45</v>
      </c>
      <c r="G22" s="1296">
        <f t="shared" si="1"/>
        <v>0</v>
      </c>
    </row>
    <row r="23" spans="1:11" ht="15" thickBot="1">
      <c r="A23" s="1297" t="s">
        <v>2324</v>
      </c>
      <c r="B23" s="39" t="s">
        <v>2330</v>
      </c>
      <c r="C23" s="1298"/>
      <c r="D23" s="1298"/>
      <c r="E23" s="1299"/>
      <c r="F23" s="1295"/>
      <c r="G23" s="1296"/>
    </row>
    <row r="24" spans="1:11" ht="15" thickBot="1">
      <c r="A24" s="1297" t="s">
        <v>2325</v>
      </c>
      <c r="B24" s="39" t="s">
        <v>2330</v>
      </c>
      <c r="C24" s="1298">
        <v>6</v>
      </c>
      <c r="D24" s="1298">
        <v>17</v>
      </c>
      <c r="E24" s="1299">
        <v>12</v>
      </c>
      <c r="F24" s="1295">
        <f t="shared" si="0"/>
        <v>0.20689655172413793</v>
      </c>
      <c r="G24" s="1296">
        <f t="shared" si="1"/>
        <v>1.5</v>
      </c>
    </row>
    <row r="25" spans="1:11" ht="15" thickBot="1">
      <c r="A25" s="1297" t="s">
        <v>2326</v>
      </c>
      <c r="B25" s="39" t="s">
        <v>2330</v>
      </c>
      <c r="C25" s="1298"/>
      <c r="D25" s="1298"/>
      <c r="E25" s="1299"/>
      <c r="F25" s="1295"/>
      <c r="G25" s="1296"/>
    </row>
    <row r="26" spans="1:11" ht="15" thickBot="1">
      <c r="A26" s="1302" t="s">
        <v>2327</v>
      </c>
      <c r="B26" s="1303" t="s">
        <v>2330</v>
      </c>
      <c r="C26" s="1304"/>
      <c r="D26" s="1304">
        <v>3</v>
      </c>
      <c r="E26" s="1305">
        <v>1</v>
      </c>
      <c r="F26" s="1295">
        <f t="shared" si="0"/>
        <v>0</v>
      </c>
      <c r="G26" s="1296">
        <f t="shared" si="1"/>
        <v>3</v>
      </c>
    </row>
    <row r="27" spans="1:11" ht="15" thickBot="1">
      <c r="A27" s="1291" t="s">
        <v>2329</v>
      </c>
      <c r="B27" s="1292" t="s">
        <v>2331</v>
      </c>
      <c r="C27" s="1293">
        <v>0</v>
      </c>
      <c r="D27" s="1293">
        <v>4</v>
      </c>
      <c r="E27" s="1294">
        <v>1</v>
      </c>
      <c r="F27" s="1295">
        <f t="shared" si="0"/>
        <v>0</v>
      </c>
      <c r="G27" s="1296">
        <f t="shared" si="1"/>
        <v>3</v>
      </c>
    </row>
    <row r="28" spans="1:11" ht="15" thickBot="1">
      <c r="A28" s="1297" t="s">
        <v>2323</v>
      </c>
      <c r="B28" s="39" t="s">
        <v>2331</v>
      </c>
      <c r="C28" s="1298">
        <v>14</v>
      </c>
      <c r="D28" s="1298">
        <v>60</v>
      </c>
      <c r="E28" s="1299">
        <v>17</v>
      </c>
      <c r="F28" s="1295">
        <f t="shared" si="0"/>
        <v>0.18181818181818182</v>
      </c>
      <c r="G28" s="1296">
        <f t="shared" si="1"/>
        <v>1.5</v>
      </c>
    </row>
    <row r="29" spans="1:11" ht="15" thickBot="1">
      <c r="A29" s="1297" t="s">
        <v>2324</v>
      </c>
      <c r="B29" s="39" t="s">
        <v>2331</v>
      </c>
      <c r="C29" s="1298">
        <v>5</v>
      </c>
      <c r="D29" s="1298">
        <v>19</v>
      </c>
      <c r="E29" s="1299">
        <v>4</v>
      </c>
      <c r="F29" s="1295">
        <f t="shared" si="0"/>
        <v>0.21739130434782608</v>
      </c>
      <c r="G29" s="1296">
        <f t="shared" si="1"/>
        <v>1.5</v>
      </c>
    </row>
    <row r="30" spans="1:11" ht="15" thickBot="1">
      <c r="A30" s="1297" t="s">
        <v>2325</v>
      </c>
      <c r="B30" s="39" t="s">
        <v>2331</v>
      </c>
      <c r="C30" s="1298">
        <v>6</v>
      </c>
      <c r="D30" s="1298">
        <v>4</v>
      </c>
      <c r="E30" s="1299">
        <v>16</v>
      </c>
      <c r="F30" s="1295">
        <f t="shared" si="0"/>
        <v>0.3</v>
      </c>
      <c r="G30" s="1296">
        <f t="shared" si="1"/>
        <v>1.5</v>
      </c>
    </row>
    <row r="31" spans="1:11" ht="15" thickBot="1">
      <c r="A31" s="1297" t="s">
        <v>2326</v>
      </c>
      <c r="B31" s="39" t="s">
        <v>2331</v>
      </c>
      <c r="C31" s="1298">
        <v>1</v>
      </c>
      <c r="D31" s="1298">
        <v>4</v>
      </c>
      <c r="E31" s="1299">
        <v>4</v>
      </c>
      <c r="F31" s="1295">
        <f t="shared" si="0"/>
        <v>0.125</v>
      </c>
      <c r="G31" s="1296">
        <f t="shared" si="1"/>
        <v>3</v>
      </c>
    </row>
    <row r="32" spans="1:11" ht="15" thickBot="1">
      <c r="A32" s="1302" t="s">
        <v>2327</v>
      </c>
      <c r="B32" s="1303" t="s">
        <v>2331</v>
      </c>
      <c r="C32" s="1304">
        <v>2</v>
      </c>
      <c r="D32" s="1304">
        <v>14</v>
      </c>
      <c r="E32" s="1305">
        <v>1</v>
      </c>
      <c r="F32" s="1295">
        <f t="shared" si="0"/>
        <v>0.13333333333333333</v>
      </c>
      <c r="G32" s="1296">
        <f t="shared" si="1"/>
        <v>3</v>
      </c>
    </row>
    <row r="33" spans="1:7" ht="15" thickBot="1">
      <c r="A33" s="1291" t="s">
        <v>2329</v>
      </c>
      <c r="B33" s="1292" t="s">
        <v>2332</v>
      </c>
      <c r="C33" s="1293">
        <v>1</v>
      </c>
      <c r="D33" s="1293">
        <v>5</v>
      </c>
      <c r="E33" s="1294">
        <v>1</v>
      </c>
      <c r="F33" s="1295">
        <f t="shared" si="0"/>
        <v>0.16666666666666666</v>
      </c>
      <c r="G33" s="1296">
        <f t="shared" si="1"/>
        <v>1.5</v>
      </c>
    </row>
    <row r="34" spans="1:7" ht="15" thickBot="1">
      <c r="A34" s="1297" t="s">
        <v>2323</v>
      </c>
      <c r="B34" s="39" t="s">
        <v>2332</v>
      </c>
      <c r="C34" s="1298">
        <v>27</v>
      </c>
      <c r="D34" s="1298">
        <v>83</v>
      </c>
      <c r="E34" s="1299">
        <v>39</v>
      </c>
      <c r="F34" s="1295">
        <f t="shared" si="0"/>
        <v>0.22131147540983606</v>
      </c>
      <c r="G34" s="1296">
        <f t="shared" si="1"/>
        <v>1.5</v>
      </c>
    </row>
    <row r="35" spans="1:7" ht="15" thickBot="1">
      <c r="A35" s="1297" t="s">
        <v>2324</v>
      </c>
      <c r="B35" s="39" t="s">
        <v>2332</v>
      </c>
      <c r="C35" s="1298">
        <v>9</v>
      </c>
      <c r="D35" s="1298">
        <v>20</v>
      </c>
      <c r="E35" s="1299">
        <v>9</v>
      </c>
      <c r="F35" s="1295">
        <f t="shared" si="0"/>
        <v>0.31034482758620691</v>
      </c>
      <c r="G35" s="1296">
        <f t="shared" si="1"/>
        <v>0</v>
      </c>
    </row>
    <row r="36" spans="1:7" ht="15" thickBot="1">
      <c r="A36" s="1297" t="s">
        <v>2325</v>
      </c>
      <c r="B36" s="39" t="s">
        <v>2332</v>
      </c>
      <c r="C36" s="1298">
        <v>25</v>
      </c>
      <c r="D36" s="1298">
        <v>39</v>
      </c>
      <c r="E36" s="1299">
        <v>15</v>
      </c>
      <c r="F36" s="1295">
        <f t="shared" si="0"/>
        <v>0.46296296296296297</v>
      </c>
      <c r="G36" s="1296">
        <f t="shared" si="1"/>
        <v>0</v>
      </c>
    </row>
    <row r="37" spans="1:7" ht="15" thickBot="1">
      <c r="A37" s="1297" t="s">
        <v>2326</v>
      </c>
      <c r="B37" s="39" t="s">
        <v>2332</v>
      </c>
      <c r="C37" s="1298">
        <v>0</v>
      </c>
      <c r="D37" s="1298">
        <v>7</v>
      </c>
      <c r="E37" s="1299">
        <v>4</v>
      </c>
      <c r="F37" s="1295">
        <f t="shared" si="0"/>
        <v>0</v>
      </c>
      <c r="G37" s="1296">
        <f t="shared" si="1"/>
        <v>3</v>
      </c>
    </row>
    <row r="38" spans="1:7" ht="15" thickBot="1">
      <c r="A38" s="1302" t="s">
        <v>2327</v>
      </c>
      <c r="B38" s="1303" t="s">
        <v>2332</v>
      </c>
      <c r="C38" s="1304">
        <v>3</v>
      </c>
      <c r="D38" s="1304">
        <v>13</v>
      </c>
      <c r="E38" s="1305">
        <v>7</v>
      </c>
      <c r="F38" s="1295">
        <f t="shared" si="0"/>
        <v>0.15</v>
      </c>
      <c r="G38" s="1296">
        <f t="shared" si="1"/>
        <v>3</v>
      </c>
    </row>
    <row r="39" spans="1:7" ht="15" thickBot="1">
      <c r="A39" s="1291" t="s">
        <v>2253</v>
      </c>
      <c r="B39" s="1292" t="s">
        <v>2333</v>
      </c>
      <c r="C39" s="1293">
        <v>0</v>
      </c>
      <c r="D39" s="1293">
        <v>3</v>
      </c>
      <c r="E39" s="1294">
        <v>0</v>
      </c>
      <c r="F39" s="1295">
        <f t="shared" si="0"/>
        <v>0</v>
      </c>
      <c r="G39" s="1296">
        <f t="shared" si="1"/>
        <v>3</v>
      </c>
    </row>
    <row r="40" spans="1:7" ht="15" thickBot="1">
      <c r="A40" s="1297" t="s">
        <v>2255</v>
      </c>
      <c r="B40" s="39" t="s">
        <v>2333</v>
      </c>
      <c r="C40" s="1298">
        <v>7</v>
      </c>
      <c r="D40" s="1298">
        <v>17</v>
      </c>
      <c r="E40" s="1299">
        <v>10</v>
      </c>
      <c r="F40" s="1295">
        <f t="shared" si="0"/>
        <v>0.25925925925925924</v>
      </c>
      <c r="G40" s="1296">
        <f t="shared" si="1"/>
        <v>1.5</v>
      </c>
    </row>
    <row r="41" spans="1:7" ht="15" thickBot="1">
      <c r="A41" s="1297" t="s">
        <v>2256</v>
      </c>
      <c r="B41" s="39" t="s">
        <v>2333</v>
      </c>
      <c r="C41" s="1298">
        <v>4</v>
      </c>
      <c r="D41" s="1298">
        <v>6</v>
      </c>
      <c r="E41" s="1299">
        <v>3</v>
      </c>
      <c r="F41" s="1295">
        <f t="shared" si="0"/>
        <v>0.44444444444444442</v>
      </c>
      <c r="G41" s="1296">
        <f t="shared" si="1"/>
        <v>0</v>
      </c>
    </row>
    <row r="42" spans="1:7" ht="15" thickBot="1">
      <c r="A42" s="1297" t="s">
        <v>2257</v>
      </c>
      <c r="B42" s="39" t="s">
        <v>2333</v>
      </c>
      <c r="C42" s="1298">
        <v>0</v>
      </c>
      <c r="D42" s="1298">
        <v>1</v>
      </c>
      <c r="E42" s="1299">
        <v>0</v>
      </c>
      <c r="F42" s="1295">
        <f t="shared" si="0"/>
        <v>0</v>
      </c>
      <c r="G42" s="1296">
        <f t="shared" si="1"/>
        <v>3</v>
      </c>
    </row>
    <row r="43" spans="1:7" ht="15" thickBot="1">
      <c r="A43" s="1297" t="s">
        <v>2258</v>
      </c>
      <c r="B43" s="39" t="s">
        <v>2333</v>
      </c>
      <c r="C43" s="1298">
        <v>0</v>
      </c>
      <c r="D43" s="1298">
        <v>0</v>
      </c>
      <c r="E43" s="1299">
        <v>0</v>
      </c>
      <c r="F43" s="1295"/>
      <c r="G43" s="1296"/>
    </row>
    <row r="44" spans="1:7" ht="15" thickBot="1">
      <c r="A44" s="1302" t="s">
        <v>2254</v>
      </c>
      <c r="B44" s="1303" t="s">
        <v>2333</v>
      </c>
      <c r="C44" s="1304">
        <v>1</v>
      </c>
      <c r="D44" s="1304">
        <v>4</v>
      </c>
      <c r="E44" s="1305">
        <v>2</v>
      </c>
      <c r="F44" s="1295">
        <f t="shared" si="0"/>
        <v>0.16666666666666666</v>
      </c>
      <c r="G44" s="1296">
        <f t="shared" si="1"/>
        <v>1.5</v>
      </c>
    </row>
    <row r="45" spans="1:7" ht="15" thickBot="1">
      <c r="A45" s="1291" t="s">
        <v>2253</v>
      </c>
      <c r="B45" s="1292" t="s">
        <v>2334</v>
      </c>
      <c r="C45" s="1293">
        <v>0</v>
      </c>
      <c r="D45" s="1293">
        <v>6</v>
      </c>
      <c r="E45" s="1294">
        <v>0</v>
      </c>
      <c r="F45" s="1295">
        <f t="shared" si="0"/>
        <v>0</v>
      </c>
      <c r="G45" s="1296">
        <f t="shared" si="1"/>
        <v>3</v>
      </c>
    </row>
    <row r="46" spans="1:7" ht="15" thickBot="1">
      <c r="A46" s="1297" t="s">
        <v>2323</v>
      </c>
      <c r="B46" s="39" t="s">
        <v>2334</v>
      </c>
      <c r="C46" s="1298">
        <v>12</v>
      </c>
      <c r="D46" s="1298">
        <v>60</v>
      </c>
      <c r="E46" s="1299">
        <v>17</v>
      </c>
      <c r="F46" s="1295">
        <f t="shared" si="0"/>
        <v>0.15584415584415584</v>
      </c>
      <c r="G46" s="1296">
        <f t="shared" si="1"/>
        <v>1.5</v>
      </c>
    </row>
    <row r="47" spans="1:7" ht="15" thickBot="1">
      <c r="A47" s="1297" t="s">
        <v>2324</v>
      </c>
      <c r="B47" s="39" t="s">
        <v>2334</v>
      </c>
      <c r="C47" s="1298">
        <v>1</v>
      </c>
      <c r="D47" s="1298">
        <v>5</v>
      </c>
      <c r="E47" s="1299">
        <v>1</v>
      </c>
      <c r="F47" s="1295">
        <f t="shared" si="0"/>
        <v>0.16666666666666666</v>
      </c>
      <c r="G47" s="1296">
        <f t="shared" si="1"/>
        <v>1.5</v>
      </c>
    </row>
    <row r="48" spans="1:7" ht="15" thickBot="1">
      <c r="A48" s="1297" t="s">
        <v>2325</v>
      </c>
      <c r="B48" s="39" t="s">
        <v>2334</v>
      </c>
      <c r="C48" s="1298">
        <v>38</v>
      </c>
      <c r="D48" s="1298">
        <v>52</v>
      </c>
      <c r="E48" s="1299">
        <v>31</v>
      </c>
      <c r="F48" s="1295">
        <f t="shared" si="0"/>
        <v>0.45783132530120479</v>
      </c>
      <c r="G48" s="1296">
        <f t="shared" si="1"/>
        <v>0</v>
      </c>
    </row>
    <row r="49" spans="1:7" ht="15" thickBot="1">
      <c r="A49" s="1297" t="s">
        <v>2326</v>
      </c>
      <c r="B49" s="39" t="s">
        <v>2334</v>
      </c>
      <c r="C49" s="1298">
        <v>1</v>
      </c>
      <c r="D49" s="1298">
        <v>3</v>
      </c>
      <c r="E49" s="1299">
        <v>2</v>
      </c>
      <c r="F49" s="1295">
        <f t="shared" si="0"/>
        <v>0.2</v>
      </c>
      <c r="G49" s="1296">
        <f t="shared" si="1"/>
        <v>1.5</v>
      </c>
    </row>
    <row r="50" spans="1:7" ht="15" thickBot="1">
      <c r="A50" s="1302" t="s">
        <v>2327</v>
      </c>
      <c r="B50" s="1303" t="s">
        <v>2334</v>
      </c>
      <c r="C50" s="1304">
        <v>1</v>
      </c>
      <c r="D50" s="1304">
        <v>7</v>
      </c>
      <c r="E50" s="1305">
        <v>2</v>
      </c>
      <c r="F50" s="1295">
        <f t="shared" si="0"/>
        <v>0.1111111111111111</v>
      </c>
      <c r="G50" s="1296">
        <f t="shared" si="1"/>
        <v>3</v>
      </c>
    </row>
    <row r="51" spans="1:7" ht="15" thickBot="1">
      <c r="A51" s="1291" t="s">
        <v>2329</v>
      </c>
      <c r="B51" s="1292" t="s">
        <v>2335</v>
      </c>
      <c r="C51" s="1293">
        <v>1</v>
      </c>
      <c r="D51" s="1293">
        <v>3</v>
      </c>
      <c r="E51" s="1294">
        <v>1</v>
      </c>
      <c r="F51" s="1295">
        <f t="shared" si="0"/>
        <v>0.25</v>
      </c>
      <c r="G51" s="1296">
        <f t="shared" si="1"/>
        <v>1.5</v>
      </c>
    </row>
    <row r="52" spans="1:7" ht="15" thickBot="1">
      <c r="A52" s="1297" t="s">
        <v>2323</v>
      </c>
      <c r="B52" s="1313" t="s">
        <v>2335</v>
      </c>
      <c r="C52" s="1298">
        <v>21</v>
      </c>
      <c r="D52" s="1298">
        <v>28</v>
      </c>
      <c r="E52" s="1299">
        <v>18</v>
      </c>
      <c r="F52" s="1295">
        <f t="shared" si="0"/>
        <v>0.45652173913043476</v>
      </c>
      <c r="G52" s="1296">
        <f t="shared" si="1"/>
        <v>0</v>
      </c>
    </row>
    <row r="53" spans="1:7" ht="15" thickBot="1">
      <c r="A53" s="1297" t="s">
        <v>2324</v>
      </c>
      <c r="B53" s="1313" t="s">
        <v>2335</v>
      </c>
      <c r="C53" s="1298">
        <v>0</v>
      </c>
      <c r="D53" s="1298">
        <v>0</v>
      </c>
      <c r="E53" s="1299">
        <v>0</v>
      </c>
      <c r="F53" s="1295"/>
      <c r="G53" s="1296"/>
    </row>
    <row r="54" spans="1:7" ht="15" thickBot="1">
      <c r="A54" s="1297" t="s">
        <v>2325</v>
      </c>
      <c r="B54" s="1313" t="s">
        <v>2335</v>
      </c>
      <c r="C54" s="1298">
        <v>11</v>
      </c>
      <c r="D54" s="1298">
        <v>10</v>
      </c>
      <c r="E54" s="1299">
        <v>5</v>
      </c>
      <c r="F54" s="1295">
        <f t="shared" si="0"/>
        <v>0.73333333333333328</v>
      </c>
      <c r="G54" s="1296">
        <f t="shared" si="1"/>
        <v>0</v>
      </c>
    </row>
    <row r="55" spans="1:7" ht="15" thickBot="1">
      <c r="A55" s="1297" t="s">
        <v>2326</v>
      </c>
      <c r="B55" s="1313" t="s">
        <v>2335</v>
      </c>
      <c r="C55" s="1298">
        <v>2</v>
      </c>
      <c r="D55" s="1298">
        <v>4</v>
      </c>
      <c r="E55" s="1299">
        <v>0</v>
      </c>
      <c r="F55" s="1295">
        <f t="shared" si="0"/>
        <v>0.5</v>
      </c>
      <c r="G55" s="1296">
        <f t="shared" si="1"/>
        <v>0</v>
      </c>
    </row>
    <row r="56" spans="1:7" ht="15" thickBot="1">
      <c r="A56" s="1302" t="s">
        <v>2327</v>
      </c>
      <c r="B56" s="1314" t="s">
        <v>2335</v>
      </c>
      <c r="C56" s="1304">
        <v>1</v>
      </c>
      <c r="D56" s="1304">
        <v>3</v>
      </c>
      <c r="E56" s="1305">
        <v>1</v>
      </c>
      <c r="F56" s="1295">
        <f t="shared" si="0"/>
        <v>0.25</v>
      </c>
      <c r="G56" s="1296">
        <f t="shared" si="1"/>
        <v>1.5</v>
      </c>
    </row>
    <row r="57" spans="1:7" ht="15" thickBot="1">
      <c r="A57" s="1291" t="s">
        <v>2253</v>
      </c>
      <c r="B57" s="1292" t="s">
        <v>2336</v>
      </c>
      <c r="C57" s="1293"/>
      <c r="D57" s="1293">
        <v>3</v>
      </c>
      <c r="E57" s="1294"/>
      <c r="F57" s="1295">
        <f t="shared" si="0"/>
        <v>0</v>
      </c>
      <c r="G57" s="1296">
        <f t="shared" si="1"/>
        <v>3</v>
      </c>
    </row>
    <row r="58" spans="1:7" ht="15" thickBot="1">
      <c r="A58" s="1297" t="s">
        <v>2255</v>
      </c>
      <c r="B58" s="39" t="s">
        <v>2336</v>
      </c>
      <c r="C58" s="1298">
        <v>12</v>
      </c>
      <c r="D58" s="1298">
        <v>26</v>
      </c>
      <c r="E58" s="1299">
        <v>22</v>
      </c>
      <c r="F58" s="1295">
        <f t="shared" si="0"/>
        <v>0.25</v>
      </c>
      <c r="G58" s="1296">
        <f t="shared" si="1"/>
        <v>1.5</v>
      </c>
    </row>
    <row r="59" spans="1:7" ht="15" thickBot="1">
      <c r="A59" s="1297" t="s">
        <v>2256</v>
      </c>
      <c r="B59" s="39" t="s">
        <v>2336</v>
      </c>
      <c r="C59" s="1298">
        <v>7</v>
      </c>
      <c r="D59" s="1298">
        <v>9</v>
      </c>
      <c r="E59" s="1299">
        <v>6</v>
      </c>
      <c r="F59" s="1295">
        <f t="shared" si="0"/>
        <v>0.46666666666666667</v>
      </c>
      <c r="G59" s="1296">
        <f t="shared" si="1"/>
        <v>0</v>
      </c>
    </row>
    <row r="60" spans="1:7" ht="15" thickBot="1">
      <c r="A60" s="1297" t="s">
        <v>2257</v>
      </c>
      <c r="B60" s="39" t="s">
        <v>2336</v>
      </c>
      <c r="C60" s="1298">
        <v>6</v>
      </c>
      <c r="D60" s="1298">
        <v>8</v>
      </c>
      <c r="E60" s="1299">
        <v>7</v>
      </c>
      <c r="F60" s="1295">
        <f t="shared" si="0"/>
        <v>0.4</v>
      </c>
      <c r="G60" s="1296">
        <f t="shared" si="1"/>
        <v>0</v>
      </c>
    </row>
    <row r="61" spans="1:7" ht="15" thickBot="1">
      <c r="A61" s="1297" t="s">
        <v>2258</v>
      </c>
      <c r="B61" s="39" t="s">
        <v>2336</v>
      </c>
      <c r="C61" s="1298"/>
      <c r="D61" s="1298"/>
      <c r="E61" s="1299">
        <v>2</v>
      </c>
      <c r="F61" s="1295">
        <f t="shared" si="0"/>
        <v>0</v>
      </c>
      <c r="G61" s="1296">
        <f t="shared" si="1"/>
        <v>3</v>
      </c>
    </row>
    <row r="62" spans="1:7" ht="15" thickBot="1">
      <c r="A62" s="1302" t="s">
        <v>2254</v>
      </c>
      <c r="B62" s="1303" t="s">
        <v>2336</v>
      </c>
      <c r="C62" s="1304"/>
      <c r="D62" s="1304">
        <v>5</v>
      </c>
      <c r="E62" s="1305">
        <v>1</v>
      </c>
      <c r="F62" s="1295">
        <f t="shared" si="0"/>
        <v>0</v>
      </c>
      <c r="G62" s="1296">
        <f t="shared" si="1"/>
        <v>3</v>
      </c>
    </row>
    <row r="64" spans="1:7">
      <c r="C64" s="1315"/>
      <c r="D64" s="1316"/>
    </row>
    <row r="65" spans="2:4">
      <c r="C65" s="1315"/>
      <c r="D65" s="1316"/>
    </row>
    <row r="66" spans="2:4">
      <c r="C66" s="1315"/>
      <c r="D66" s="1316"/>
    </row>
    <row r="67" spans="2:4">
      <c r="C67" s="1315"/>
      <c r="D67" s="1316"/>
    </row>
    <row r="68" spans="2:4">
      <c r="C68" s="1315"/>
      <c r="D68" s="1316"/>
    </row>
    <row r="69" spans="2:4">
      <c r="C69" s="1315"/>
      <c r="D69" s="1316"/>
    </row>
    <row r="75" spans="2:4">
      <c r="B75" s="1317"/>
    </row>
    <row r="76" spans="2:4">
      <c r="B76" s="1317"/>
    </row>
    <row r="77" spans="2:4">
      <c r="B77" s="1317"/>
    </row>
    <row r="78" spans="2:4">
      <c r="B78" s="1317"/>
    </row>
    <row r="79" spans="2:4">
      <c r="B79" s="1317"/>
    </row>
    <row r="80" spans="2:4">
      <c r="B80" s="1317"/>
    </row>
    <row r="81" spans="2:2">
      <c r="B81" s="1317"/>
    </row>
    <row r="82" spans="2:2">
      <c r="B82" s="1317"/>
    </row>
    <row r="83" spans="2:2">
      <c r="B83" s="1317"/>
    </row>
    <row r="84" spans="2:2">
      <c r="B84" s="1317"/>
    </row>
    <row r="85" spans="2:2">
      <c r="B85" s="1317"/>
    </row>
    <row r="86" spans="2:2">
      <c r="B86" s="1317"/>
    </row>
    <row r="87" spans="2:2">
      <c r="B87" s="1061"/>
    </row>
    <row r="88" spans="2:2">
      <c r="B88" s="1061"/>
    </row>
    <row r="89" spans="2:2">
      <c r="B89" s="1061"/>
    </row>
  </sheetData>
  <mergeCells count="1">
    <mergeCell ref="K2:M2"/>
  </mergeCells>
  <phoneticPr fontId="3" type="noConversion"/>
  <hyperlinks>
    <hyperlink ref="K19" location="'总公司绩效-II'!A1" display="总公司绩效-II"/>
    <hyperlink ref="K20" location="目录!A1" display="目录"/>
    <hyperlink ref="K21" location="'OR04-分公司销售、承保、保全'!A1" display="OR04"/>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00B0F0"/>
  </sheetPr>
  <dimension ref="A1:K56"/>
  <sheetViews>
    <sheetView workbookViewId="0">
      <selection activeCell="F7" sqref="F7"/>
    </sheetView>
  </sheetViews>
  <sheetFormatPr defaultRowHeight="13.5"/>
  <cols>
    <col min="3" max="3" width="16.375" customWidth="1"/>
    <col min="4" max="4" width="15" customWidth="1"/>
    <col min="5" max="5" width="12.625" customWidth="1"/>
    <col min="9" max="9" width="5.25" customWidth="1"/>
    <col min="10" max="10" width="17.375" customWidth="1"/>
    <col min="11" max="11" width="37.375" customWidth="1"/>
    <col min="12" max="12" width="12.5" bestFit="1" customWidth="1"/>
  </cols>
  <sheetData>
    <row r="1" spans="1:11" ht="15" thickBot="1">
      <c r="C1" s="1319">
        <v>17.100000000000001</v>
      </c>
      <c r="D1" s="1319">
        <v>17.2</v>
      </c>
      <c r="E1" s="1319"/>
    </row>
    <row r="2" spans="1:11" ht="43.5" thickBot="1">
      <c r="A2" s="1320" t="s">
        <v>2337</v>
      </c>
      <c r="B2" s="1320" t="s">
        <v>2338</v>
      </c>
      <c r="C2" s="1321" t="s">
        <v>2339</v>
      </c>
      <c r="D2" s="1321" t="s">
        <v>1266</v>
      </c>
      <c r="E2" s="1321" t="s">
        <v>2340</v>
      </c>
      <c r="F2" s="1320" t="s">
        <v>2341</v>
      </c>
      <c r="I2" s="1415"/>
      <c r="J2" s="1415"/>
      <c r="K2" s="1415"/>
    </row>
    <row r="3" spans="1:11" ht="14.25">
      <c r="A3" s="1291" t="s">
        <v>2342</v>
      </c>
      <c r="B3" s="1292" t="s">
        <v>2343</v>
      </c>
      <c r="C3" s="1293">
        <v>325</v>
      </c>
      <c r="D3" s="1293">
        <v>340</v>
      </c>
      <c r="E3" s="1322">
        <f t="shared" ref="E3:E13" si="0">C3/D3</f>
        <v>0.95588235294117652</v>
      </c>
      <c r="F3" s="1323">
        <f t="shared" ref="F3:F13" si="1">IF(E3&gt;=0.9,2,IF(E3&gt;=0.8,1,0))</f>
        <v>2</v>
      </c>
      <c r="I3" s="1180"/>
      <c r="J3" s="1180" t="s">
        <v>2360</v>
      </c>
      <c r="K3" s="1180" t="s">
        <v>2364</v>
      </c>
    </row>
    <row r="4" spans="1:11" ht="14.25">
      <c r="A4" s="1297" t="s">
        <v>2344</v>
      </c>
      <c r="B4" s="39" t="s">
        <v>2343</v>
      </c>
      <c r="C4" s="1298">
        <v>3</v>
      </c>
      <c r="D4" s="1298">
        <v>3</v>
      </c>
      <c r="E4" s="1324">
        <f t="shared" si="0"/>
        <v>1</v>
      </c>
      <c r="F4" s="1325">
        <f t="shared" si="1"/>
        <v>2</v>
      </c>
      <c r="I4" s="1300" t="s">
        <v>2258</v>
      </c>
      <c r="J4" s="1237">
        <v>2</v>
      </c>
      <c r="K4" s="1176">
        <v>0.96683465233287358</v>
      </c>
    </row>
    <row r="5" spans="1:11" ht="14.25">
      <c r="A5" s="1297" t="s">
        <v>2345</v>
      </c>
      <c r="B5" s="39" t="s">
        <v>2343</v>
      </c>
      <c r="C5" s="1298">
        <v>10</v>
      </c>
      <c r="D5" s="1298">
        <v>10</v>
      </c>
      <c r="E5" s="1324">
        <f t="shared" si="0"/>
        <v>1</v>
      </c>
      <c r="F5" s="1325">
        <f t="shared" si="1"/>
        <v>2</v>
      </c>
      <c r="I5" s="1300" t="s">
        <v>2255</v>
      </c>
      <c r="J5" s="1237">
        <v>2</v>
      </c>
      <c r="K5" s="1176">
        <v>0.9761948611387703</v>
      </c>
    </row>
    <row r="6" spans="1:11" ht="14.25">
      <c r="A6" s="1297" t="s">
        <v>2346</v>
      </c>
      <c r="B6" s="39" t="s">
        <v>2343</v>
      </c>
      <c r="C6" s="1298">
        <v>387</v>
      </c>
      <c r="D6" s="1298">
        <v>401</v>
      </c>
      <c r="E6" s="1324">
        <f t="shared" si="0"/>
        <v>0.96508728179551118</v>
      </c>
      <c r="F6" s="1325">
        <f t="shared" si="1"/>
        <v>2</v>
      </c>
      <c r="I6" s="1300" t="s">
        <v>2256</v>
      </c>
      <c r="J6" s="1237">
        <v>1.5</v>
      </c>
      <c r="K6" s="1176">
        <v>0.92361111111111105</v>
      </c>
    </row>
    <row r="7" spans="1:11" ht="15" thickBot="1">
      <c r="A7" s="1302" t="s">
        <v>2347</v>
      </c>
      <c r="B7" s="1303" t="s">
        <v>2343</v>
      </c>
      <c r="C7" s="1304">
        <v>23</v>
      </c>
      <c r="D7" s="1304">
        <v>23</v>
      </c>
      <c r="E7" s="1326">
        <f t="shared" si="0"/>
        <v>1</v>
      </c>
      <c r="F7" s="1327">
        <f t="shared" si="1"/>
        <v>2</v>
      </c>
      <c r="I7" s="1300" t="s">
        <v>2254</v>
      </c>
      <c r="J7" s="1237">
        <v>1.8</v>
      </c>
      <c r="K7" s="1176">
        <v>0.97190476190476205</v>
      </c>
    </row>
    <row r="8" spans="1:11" ht="14.25">
      <c r="A8" s="1291" t="s">
        <v>2342</v>
      </c>
      <c r="B8" s="1292" t="s">
        <v>2348</v>
      </c>
      <c r="C8" s="1293">
        <v>2668</v>
      </c>
      <c r="D8" s="1293">
        <v>2736</v>
      </c>
      <c r="E8" s="1322">
        <f t="shared" si="0"/>
        <v>0.97514619883040932</v>
      </c>
      <c r="F8" s="1323">
        <f t="shared" si="1"/>
        <v>2</v>
      </c>
      <c r="I8" s="1300" t="s">
        <v>2257</v>
      </c>
      <c r="J8" s="1237">
        <v>2</v>
      </c>
      <c r="K8" s="1176">
        <v>0.9868022853984757</v>
      </c>
    </row>
    <row r="9" spans="1:11" ht="14.25">
      <c r="A9" s="1297" t="s">
        <v>2344</v>
      </c>
      <c r="B9" s="39" t="s">
        <v>2348</v>
      </c>
      <c r="C9" s="1298">
        <v>14</v>
      </c>
      <c r="D9" s="1298">
        <v>16</v>
      </c>
      <c r="E9" s="1324">
        <f t="shared" si="0"/>
        <v>0.875</v>
      </c>
      <c r="F9" s="1325">
        <f t="shared" si="1"/>
        <v>1</v>
      </c>
    </row>
    <row r="10" spans="1:11" ht="14.25">
      <c r="A10" s="1297" t="s">
        <v>2345</v>
      </c>
      <c r="B10" s="39" t="s">
        <v>2348</v>
      </c>
      <c r="C10" s="1298">
        <v>427</v>
      </c>
      <c r="D10" s="1298">
        <v>442</v>
      </c>
      <c r="E10" s="1324">
        <f t="shared" si="0"/>
        <v>0.9660633484162896</v>
      </c>
      <c r="F10" s="1325">
        <f t="shared" si="1"/>
        <v>2</v>
      </c>
    </row>
    <row r="11" spans="1:11" ht="14.25">
      <c r="A11" s="1297" t="s">
        <v>2346</v>
      </c>
      <c r="B11" s="39" t="s">
        <v>2348</v>
      </c>
      <c r="C11" s="1298">
        <v>252</v>
      </c>
      <c r="D11" s="1298">
        <v>255</v>
      </c>
      <c r="E11" s="1324">
        <f t="shared" si="0"/>
        <v>0.9882352941176471</v>
      </c>
      <c r="F11" s="1325">
        <f t="shared" si="1"/>
        <v>2</v>
      </c>
    </row>
    <row r="12" spans="1:11" ht="15" thickBot="1">
      <c r="A12" s="1302" t="s">
        <v>2347</v>
      </c>
      <c r="B12" s="1303" t="s">
        <v>2348</v>
      </c>
      <c r="C12" s="1304">
        <v>38</v>
      </c>
      <c r="D12" s="1304">
        <v>38</v>
      </c>
      <c r="E12" s="1326">
        <f t="shared" si="0"/>
        <v>1</v>
      </c>
      <c r="F12" s="1327">
        <f t="shared" si="1"/>
        <v>2</v>
      </c>
      <c r="J12" t="s">
        <v>2380</v>
      </c>
    </row>
    <row r="13" spans="1:11" ht="14.25">
      <c r="A13" s="1291" t="s">
        <v>2255</v>
      </c>
      <c r="B13" s="1292" t="s">
        <v>2349</v>
      </c>
      <c r="C13" s="1293">
        <v>3874</v>
      </c>
      <c r="D13" s="1293">
        <v>3911</v>
      </c>
      <c r="E13" s="1322">
        <f t="shared" si="0"/>
        <v>0.9905395039631808</v>
      </c>
      <c r="F13" s="1323">
        <f t="shared" si="1"/>
        <v>2</v>
      </c>
      <c r="J13" t="s">
        <v>2381</v>
      </c>
    </row>
    <row r="14" spans="1:11" ht="14.25">
      <c r="A14" s="1297" t="s">
        <v>2256</v>
      </c>
      <c r="B14" s="39" t="s">
        <v>2349</v>
      </c>
      <c r="C14" s="1298">
        <v>0</v>
      </c>
      <c r="D14" s="1298">
        <v>0</v>
      </c>
      <c r="E14" s="1324"/>
      <c r="F14" s="1325"/>
      <c r="J14" t="s">
        <v>2382</v>
      </c>
    </row>
    <row r="15" spans="1:11" ht="14.25">
      <c r="A15" s="1297" t="s">
        <v>2257</v>
      </c>
      <c r="B15" s="39" t="s">
        <v>2349</v>
      </c>
      <c r="C15" s="1298">
        <v>0</v>
      </c>
      <c r="D15" s="1298">
        <v>0</v>
      </c>
      <c r="E15" s="1324"/>
      <c r="F15" s="1325"/>
    </row>
    <row r="16" spans="1:11" ht="14.25">
      <c r="A16" s="1297" t="s">
        <v>2258</v>
      </c>
      <c r="B16" s="39" t="s">
        <v>2349</v>
      </c>
      <c r="C16" s="1298">
        <v>2375</v>
      </c>
      <c r="D16" s="1298">
        <v>2458</v>
      </c>
      <c r="E16" s="1324">
        <f>C16/D16</f>
        <v>0.9662327095199349</v>
      </c>
      <c r="F16" s="1325">
        <f>IF(E16&gt;=0.9,2,IF(E16&gt;=0.8,1,0))</f>
        <v>2</v>
      </c>
    </row>
    <row r="17" spans="1:9" ht="15" thickBot="1">
      <c r="A17" s="1302" t="s">
        <v>2254</v>
      </c>
      <c r="B17" s="1303" t="s">
        <v>2349</v>
      </c>
      <c r="C17" s="1304">
        <v>87</v>
      </c>
      <c r="D17" s="1304">
        <v>87</v>
      </c>
      <c r="E17" s="1326">
        <f>C17/D17</f>
        <v>1</v>
      </c>
      <c r="F17" s="1327">
        <f>IF(E17&gt;=0.9,2,IF(E17&gt;=0.8,1,0))</f>
        <v>2</v>
      </c>
    </row>
    <row r="18" spans="1:9" ht="14.25">
      <c r="A18" s="1291" t="s">
        <v>2342</v>
      </c>
      <c r="B18" s="1292" t="s">
        <v>2350</v>
      </c>
      <c r="C18" s="1293">
        <v>521</v>
      </c>
      <c r="D18" s="1293">
        <v>551</v>
      </c>
      <c r="E18" s="1322">
        <f>C18/D18</f>
        <v>0.94555353901996375</v>
      </c>
      <c r="F18" s="1323">
        <f>IF(E18&gt;=0.9,2,IF(E18&gt;=0.8,1,0))</f>
        <v>2</v>
      </c>
      <c r="I18" s="860" t="s">
        <v>2466</v>
      </c>
    </row>
    <row r="19" spans="1:9" ht="14.25">
      <c r="A19" s="1297" t="s">
        <v>2344</v>
      </c>
      <c r="B19" s="39" t="s">
        <v>2350</v>
      </c>
      <c r="C19" s="1298">
        <v>0</v>
      </c>
      <c r="D19" s="1298">
        <v>0</v>
      </c>
      <c r="E19" s="1324"/>
      <c r="F19" s="1325"/>
      <c r="I19" s="860" t="s">
        <v>2467</v>
      </c>
    </row>
    <row r="20" spans="1:9" ht="14.25">
      <c r="A20" s="1297" t="s">
        <v>2345</v>
      </c>
      <c r="B20" s="39" t="s">
        <v>2350</v>
      </c>
      <c r="C20" s="1298">
        <v>598</v>
      </c>
      <c r="D20" s="1298">
        <v>620</v>
      </c>
      <c r="E20" s="1324">
        <f>C20/D20</f>
        <v>0.96451612903225803</v>
      </c>
      <c r="F20" s="1325">
        <f>IF(E20&gt;=0.9,2,IF(E20&gt;=0.8,1,0))</f>
        <v>2</v>
      </c>
      <c r="I20" s="860" t="s">
        <v>2468</v>
      </c>
    </row>
    <row r="21" spans="1:9" ht="14.25">
      <c r="A21" s="1297" t="s">
        <v>2346</v>
      </c>
      <c r="B21" s="39" t="s">
        <v>2350</v>
      </c>
      <c r="C21" s="1298">
        <v>0</v>
      </c>
      <c r="D21" s="1298">
        <v>0</v>
      </c>
      <c r="E21" s="1324"/>
      <c r="F21" s="1325"/>
    </row>
    <row r="22" spans="1:9" ht="15" thickBot="1">
      <c r="A22" s="1302" t="s">
        <v>2347</v>
      </c>
      <c r="B22" s="1303" t="s">
        <v>2350</v>
      </c>
      <c r="C22" s="1304">
        <v>21</v>
      </c>
      <c r="D22" s="1304">
        <v>21</v>
      </c>
      <c r="E22" s="1326">
        <f t="shared" ref="E22:E33" si="2">C22/D22</f>
        <v>1</v>
      </c>
      <c r="F22" s="1327">
        <f t="shared" ref="F22:F33" si="3">IF(E22&gt;=0.9,2,IF(E22&gt;=0.8,1,0))</f>
        <v>2</v>
      </c>
    </row>
    <row r="23" spans="1:9" ht="14.25">
      <c r="A23" s="1291" t="s">
        <v>2342</v>
      </c>
      <c r="B23" s="1292" t="s">
        <v>2351</v>
      </c>
      <c r="C23" s="1293">
        <v>3329</v>
      </c>
      <c r="D23" s="1293">
        <v>3401</v>
      </c>
      <c r="E23" s="1322">
        <f t="shared" si="2"/>
        <v>0.97882975595413113</v>
      </c>
      <c r="F23" s="1323">
        <f t="shared" si="3"/>
        <v>2</v>
      </c>
    </row>
    <row r="24" spans="1:9" ht="14.25">
      <c r="A24" s="1297" t="s">
        <v>2344</v>
      </c>
      <c r="B24" s="39" t="s">
        <v>2351</v>
      </c>
      <c r="C24" s="1298">
        <v>6</v>
      </c>
      <c r="D24" s="1298">
        <v>9</v>
      </c>
      <c r="E24" s="1324">
        <f t="shared" si="2"/>
        <v>0.66666666666666663</v>
      </c>
      <c r="F24" s="1325">
        <f t="shared" si="3"/>
        <v>0</v>
      </c>
    </row>
    <row r="25" spans="1:9" ht="14.25">
      <c r="A25" s="1297" t="s">
        <v>2345</v>
      </c>
      <c r="B25" s="39" t="s">
        <v>2351</v>
      </c>
      <c r="C25" s="1298">
        <v>73</v>
      </c>
      <c r="D25" s="1298">
        <v>75</v>
      </c>
      <c r="E25" s="1324">
        <f t="shared" si="2"/>
        <v>0.97333333333333338</v>
      </c>
      <c r="F25" s="1325">
        <f t="shared" si="3"/>
        <v>2</v>
      </c>
    </row>
    <row r="26" spans="1:9" ht="14.25">
      <c r="A26" s="1297" t="s">
        <v>2346</v>
      </c>
      <c r="B26" s="39" t="s">
        <v>2351</v>
      </c>
      <c r="C26" s="1298">
        <v>1033</v>
      </c>
      <c r="D26" s="1298">
        <v>1099</v>
      </c>
      <c r="E26" s="1324">
        <f t="shared" si="2"/>
        <v>0.93994540491355782</v>
      </c>
      <c r="F26" s="1325">
        <f t="shared" si="3"/>
        <v>2</v>
      </c>
    </row>
    <row r="27" spans="1:9" ht="15" thickBot="1">
      <c r="A27" s="1302" t="s">
        <v>2347</v>
      </c>
      <c r="B27" s="1303" t="s">
        <v>2351</v>
      </c>
      <c r="C27" s="1304">
        <v>32</v>
      </c>
      <c r="D27" s="1304">
        <v>32</v>
      </c>
      <c r="E27" s="1326">
        <f t="shared" si="2"/>
        <v>1</v>
      </c>
      <c r="F27" s="1327">
        <f t="shared" si="3"/>
        <v>2</v>
      </c>
    </row>
    <row r="28" spans="1:9" ht="14.25">
      <c r="A28" s="1291" t="s">
        <v>2342</v>
      </c>
      <c r="B28" s="1292" t="s">
        <v>2352</v>
      </c>
      <c r="C28" s="1293">
        <v>3596</v>
      </c>
      <c r="D28" s="1293">
        <v>3629</v>
      </c>
      <c r="E28" s="1322">
        <f t="shared" si="2"/>
        <v>0.99090658583631852</v>
      </c>
      <c r="F28" s="1323">
        <f t="shared" si="3"/>
        <v>2</v>
      </c>
    </row>
    <row r="29" spans="1:9" ht="14.25">
      <c r="A29" s="1297" t="s">
        <v>2344</v>
      </c>
      <c r="B29" s="39" t="s">
        <v>2352</v>
      </c>
      <c r="C29" s="1298">
        <v>27</v>
      </c>
      <c r="D29" s="1298">
        <v>27</v>
      </c>
      <c r="E29" s="1324">
        <f t="shared" si="2"/>
        <v>1</v>
      </c>
      <c r="F29" s="1325">
        <f t="shared" si="3"/>
        <v>2</v>
      </c>
    </row>
    <row r="30" spans="1:9" ht="14.25">
      <c r="A30" s="1297" t="s">
        <v>2345</v>
      </c>
      <c r="B30" s="39" t="s">
        <v>2352</v>
      </c>
      <c r="C30" s="1298">
        <v>152</v>
      </c>
      <c r="D30" s="1298">
        <v>153</v>
      </c>
      <c r="E30" s="1324">
        <f t="shared" si="2"/>
        <v>0.99346405228758172</v>
      </c>
      <c r="F30" s="1325">
        <f t="shared" si="3"/>
        <v>2</v>
      </c>
    </row>
    <row r="31" spans="1:9" ht="14.25">
      <c r="A31" s="1297" t="s">
        <v>2346</v>
      </c>
      <c r="B31" s="39" t="s">
        <v>2352</v>
      </c>
      <c r="C31" s="1298">
        <v>1831</v>
      </c>
      <c r="D31" s="1298">
        <v>1899</v>
      </c>
      <c r="E31" s="1324">
        <f t="shared" si="2"/>
        <v>0.96419167983149023</v>
      </c>
      <c r="F31" s="1325">
        <f t="shared" si="3"/>
        <v>2</v>
      </c>
    </row>
    <row r="32" spans="1:9" ht="15" thickBot="1">
      <c r="A32" s="1302" t="s">
        <v>2347</v>
      </c>
      <c r="B32" s="1303" t="s">
        <v>2352</v>
      </c>
      <c r="C32" s="1304">
        <v>89</v>
      </c>
      <c r="D32" s="1304">
        <v>89</v>
      </c>
      <c r="E32" s="1326">
        <f t="shared" si="2"/>
        <v>1</v>
      </c>
      <c r="F32" s="1327">
        <f t="shared" si="3"/>
        <v>2</v>
      </c>
    </row>
    <row r="33" spans="1:6" ht="14.25">
      <c r="A33" s="1291" t="s">
        <v>2255</v>
      </c>
      <c r="B33" s="1292" t="s">
        <v>2353</v>
      </c>
      <c r="C33" s="1293">
        <v>836</v>
      </c>
      <c r="D33" s="1293">
        <v>854</v>
      </c>
      <c r="E33" s="1322">
        <f t="shared" si="2"/>
        <v>0.97892271662763464</v>
      </c>
      <c r="F33" s="1323">
        <f t="shared" si="3"/>
        <v>2</v>
      </c>
    </row>
    <row r="34" spans="1:6" ht="14.25">
      <c r="A34" s="1297" t="s">
        <v>2256</v>
      </c>
      <c r="B34" s="39" t="s">
        <v>2353</v>
      </c>
      <c r="C34" s="1298">
        <v>0</v>
      </c>
      <c r="D34" s="1298">
        <v>0</v>
      </c>
      <c r="E34" s="1324"/>
      <c r="F34" s="1325"/>
    </row>
    <row r="35" spans="1:6" ht="14.25">
      <c r="A35" s="1297" t="s">
        <v>2257</v>
      </c>
      <c r="B35" s="39" t="s">
        <v>2353</v>
      </c>
      <c r="C35" s="1298">
        <v>0</v>
      </c>
      <c r="D35" s="1298">
        <v>0</v>
      </c>
      <c r="E35" s="1324"/>
      <c r="F35" s="1325"/>
    </row>
    <row r="36" spans="1:6" ht="14.25">
      <c r="A36" s="1297" t="s">
        <v>2258</v>
      </c>
      <c r="B36" s="39" t="s">
        <v>2353</v>
      </c>
      <c r="C36" s="1298">
        <v>0</v>
      </c>
      <c r="D36" s="1298">
        <v>0</v>
      </c>
      <c r="E36" s="1324"/>
      <c r="F36" s="1325"/>
    </row>
    <row r="37" spans="1:6" ht="15" thickBot="1">
      <c r="A37" s="1302" t="s">
        <v>2254</v>
      </c>
      <c r="B37" s="1303" t="s">
        <v>2353</v>
      </c>
      <c r="C37" s="1304">
        <v>15</v>
      </c>
      <c r="D37" s="1304">
        <v>15</v>
      </c>
      <c r="E37" s="1326">
        <f t="shared" ref="E37:E43" si="4">C37/D37</f>
        <v>1</v>
      </c>
      <c r="F37" s="1327">
        <f t="shared" ref="F37:F43" si="5">IF(E37&gt;=0.9,2,IF(E37&gt;=0.8,1,0))</f>
        <v>2</v>
      </c>
    </row>
    <row r="38" spans="1:6" ht="14.25">
      <c r="A38" s="1291" t="s">
        <v>2342</v>
      </c>
      <c r="B38" s="1292" t="s">
        <v>2354</v>
      </c>
      <c r="C38" s="1293">
        <v>3224</v>
      </c>
      <c r="D38" s="1293">
        <v>3280</v>
      </c>
      <c r="E38" s="1322">
        <f t="shared" si="4"/>
        <v>0.98292682926829267</v>
      </c>
      <c r="F38" s="1323">
        <f t="shared" si="5"/>
        <v>2</v>
      </c>
    </row>
    <row r="39" spans="1:6" ht="14.25">
      <c r="A39" s="1297" t="s">
        <v>2344</v>
      </c>
      <c r="B39" s="39" t="s">
        <v>2354</v>
      </c>
      <c r="C39" s="1298">
        <v>6</v>
      </c>
      <c r="D39" s="1298">
        <v>6</v>
      </c>
      <c r="E39" s="1324">
        <f t="shared" si="4"/>
        <v>1</v>
      </c>
      <c r="F39" s="1325">
        <f t="shared" si="5"/>
        <v>2</v>
      </c>
    </row>
    <row r="40" spans="1:6" ht="14.25">
      <c r="A40" s="1297" t="s">
        <v>2345</v>
      </c>
      <c r="B40" s="39" t="s">
        <v>2354</v>
      </c>
      <c r="C40" s="1298">
        <v>337</v>
      </c>
      <c r="D40" s="1298">
        <v>338</v>
      </c>
      <c r="E40" s="1324">
        <f t="shared" si="4"/>
        <v>0.99704142011834318</v>
      </c>
      <c r="F40" s="1325">
        <f t="shared" si="5"/>
        <v>2</v>
      </c>
    </row>
    <row r="41" spans="1:6" ht="14.25">
      <c r="A41" s="1297" t="s">
        <v>2346</v>
      </c>
      <c r="B41" s="39" t="s">
        <v>2354</v>
      </c>
      <c r="C41" s="1298">
        <v>1042</v>
      </c>
      <c r="D41" s="1298">
        <v>1056</v>
      </c>
      <c r="E41" s="1324">
        <f t="shared" si="4"/>
        <v>0.9867424242424242</v>
      </c>
      <c r="F41" s="1325">
        <f t="shared" si="5"/>
        <v>2</v>
      </c>
    </row>
    <row r="42" spans="1:6" ht="15" thickBot="1">
      <c r="A42" s="1302" t="s">
        <v>2347</v>
      </c>
      <c r="B42" s="1303" t="s">
        <v>2354</v>
      </c>
      <c r="C42" s="1304">
        <v>38</v>
      </c>
      <c r="D42" s="1304">
        <v>38</v>
      </c>
      <c r="E42" s="1326">
        <f t="shared" si="4"/>
        <v>1</v>
      </c>
      <c r="F42" s="1327">
        <f t="shared" si="5"/>
        <v>2</v>
      </c>
    </row>
    <row r="43" spans="1:6" ht="14.25">
      <c r="A43" s="1291" t="s">
        <v>2342</v>
      </c>
      <c r="B43" s="1292" t="s">
        <v>2355</v>
      </c>
      <c r="C43" s="1293">
        <v>929</v>
      </c>
      <c r="D43" s="1293">
        <v>947</v>
      </c>
      <c r="E43" s="1322">
        <f t="shared" si="4"/>
        <v>0.98099260823653645</v>
      </c>
      <c r="F43" s="1323">
        <f t="shared" si="5"/>
        <v>2</v>
      </c>
    </row>
    <row r="44" spans="1:6" ht="14.25">
      <c r="A44" s="1297" t="s">
        <v>2344</v>
      </c>
      <c r="B44" s="1313" t="s">
        <v>2355</v>
      </c>
      <c r="C44" s="1298">
        <v>0</v>
      </c>
      <c r="D44" s="1298">
        <v>0</v>
      </c>
      <c r="E44" s="1324"/>
      <c r="F44" s="1325"/>
    </row>
    <row r="45" spans="1:6" ht="14.25">
      <c r="A45" s="1297" t="s">
        <v>2345</v>
      </c>
      <c r="B45" s="1313" t="s">
        <v>2355</v>
      </c>
      <c r="C45" s="1298">
        <v>2</v>
      </c>
      <c r="D45" s="1298">
        <v>2</v>
      </c>
      <c r="E45" s="1324">
        <f t="shared" ref="E45:E52" si="6">C45/D45</f>
        <v>1</v>
      </c>
      <c r="F45" s="1325">
        <f t="shared" ref="F45:F52" si="7">IF(E45&gt;=0.9,2,IF(E45&gt;=0.8,1,0))</f>
        <v>2</v>
      </c>
    </row>
    <row r="46" spans="1:6" ht="14.25">
      <c r="A46" s="1297" t="s">
        <v>2346</v>
      </c>
      <c r="B46" s="1313" t="s">
        <v>2355</v>
      </c>
      <c r="C46" s="1298">
        <v>95</v>
      </c>
      <c r="D46" s="1298">
        <v>96</v>
      </c>
      <c r="E46" s="1324">
        <f t="shared" si="6"/>
        <v>0.98958333333333337</v>
      </c>
      <c r="F46" s="1325">
        <f t="shared" si="7"/>
        <v>2</v>
      </c>
    </row>
    <row r="47" spans="1:6" ht="15" thickBot="1">
      <c r="A47" s="1302" t="s">
        <v>2347</v>
      </c>
      <c r="B47" s="1314" t="s">
        <v>2355</v>
      </c>
      <c r="C47" s="1304">
        <v>14</v>
      </c>
      <c r="D47" s="1304">
        <v>15</v>
      </c>
      <c r="E47" s="1326">
        <f t="shared" si="6"/>
        <v>0.93333333333333335</v>
      </c>
      <c r="F47" s="1327">
        <f t="shared" si="7"/>
        <v>2</v>
      </c>
    </row>
    <row r="48" spans="1:6" ht="14.25">
      <c r="A48" s="1291" t="s">
        <v>2255</v>
      </c>
      <c r="B48" s="1292" t="s">
        <v>2356</v>
      </c>
      <c r="C48" s="1293">
        <v>1494</v>
      </c>
      <c r="D48" s="1293">
        <v>1521</v>
      </c>
      <c r="E48" s="1322">
        <f t="shared" si="6"/>
        <v>0.98224852071005919</v>
      </c>
      <c r="F48" s="1323">
        <f t="shared" si="7"/>
        <v>2</v>
      </c>
    </row>
    <row r="49" spans="1:6" ht="14.25">
      <c r="A49" s="1297" t="s">
        <v>2256</v>
      </c>
      <c r="B49" s="39" t="s">
        <v>2356</v>
      </c>
      <c r="C49" s="1298">
        <v>1</v>
      </c>
      <c r="D49" s="1298">
        <v>1</v>
      </c>
      <c r="E49" s="1324">
        <f t="shared" si="6"/>
        <v>1</v>
      </c>
      <c r="F49" s="1325">
        <f t="shared" si="7"/>
        <v>2</v>
      </c>
    </row>
    <row r="50" spans="1:6" ht="14.25">
      <c r="A50" s="1297" t="s">
        <v>2257</v>
      </c>
      <c r="B50" s="39" t="s">
        <v>2356</v>
      </c>
      <c r="C50" s="1298">
        <v>11</v>
      </c>
      <c r="D50" s="1298">
        <v>11</v>
      </c>
      <c r="E50" s="1324">
        <f t="shared" si="6"/>
        <v>1</v>
      </c>
      <c r="F50" s="1325">
        <f t="shared" si="7"/>
        <v>2</v>
      </c>
    </row>
    <row r="51" spans="1:6" ht="14.25">
      <c r="A51" s="1297" t="s">
        <v>2258</v>
      </c>
      <c r="B51" s="39" t="s">
        <v>2356</v>
      </c>
      <c r="C51" s="1298">
        <v>329</v>
      </c>
      <c r="D51" s="1298">
        <v>352</v>
      </c>
      <c r="E51" s="1324">
        <f t="shared" si="6"/>
        <v>0.93465909090909094</v>
      </c>
      <c r="F51" s="1325">
        <f t="shared" si="7"/>
        <v>2</v>
      </c>
    </row>
    <row r="52" spans="1:6" ht="15" thickBot="1">
      <c r="A52" s="1302" t="s">
        <v>2254</v>
      </c>
      <c r="B52" s="1303" t="s">
        <v>2356</v>
      </c>
      <c r="C52" s="1304">
        <v>11</v>
      </c>
      <c r="D52" s="1304">
        <v>14</v>
      </c>
      <c r="E52" s="1326">
        <f t="shared" si="6"/>
        <v>0.7857142857142857</v>
      </c>
      <c r="F52" s="1327">
        <f t="shared" si="7"/>
        <v>0</v>
      </c>
    </row>
    <row r="53" spans="1:6">
      <c r="F53" s="1268"/>
    </row>
    <row r="54" spans="1:6">
      <c r="F54" s="1268"/>
    </row>
    <row r="55" spans="1:6">
      <c r="F55" s="1268"/>
    </row>
    <row r="56" spans="1:6">
      <c r="F56" s="1268"/>
    </row>
  </sheetData>
  <mergeCells count="1">
    <mergeCell ref="I2:K2"/>
  </mergeCells>
  <phoneticPr fontId="3" type="noConversion"/>
  <hyperlinks>
    <hyperlink ref="I18" location="'总公司绩效-II'!A1" display="总公司绩效-II"/>
    <hyperlink ref="I19" location="目录!A1" display="目录"/>
    <hyperlink ref="I20" location="'OR04-分公司销售、承保、保全'!A1" display="OR04"/>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00B0F0"/>
  </sheetPr>
  <dimension ref="A1:K53"/>
  <sheetViews>
    <sheetView workbookViewId="0">
      <selection activeCell="K39" sqref="K39"/>
    </sheetView>
  </sheetViews>
  <sheetFormatPr defaultRowHeight="13.5"/>
  <cols>
    <col min="3" max="3" width="9.625" bestFit="1" customWidth="1"/>
    <col min="9" max="9" width="5.25" customWidth="1"/>
    <col min="10" max="10" width="17.375" bestFit="1" customWidth="1"/>
    <col min="11" max="11" width="30.625" customWidth="1"/>
    <col min="12" max="12" width="30.625" bestFit="1" customWidth="1"/>
  </cols>
  <sheetData>
    <row r="1" spans="1:11" ht="15" thickBot="1">
      <c r="C1" s="1321">
        <v>18.100000000000001</v>
      </c>
      <c r="D1" s="1321">
        <v>18.2</v>
      </c>
      <c r="E1" s="1328"/>
      <c r="F1" s="1329"/>
    </row>
    <row r="2" spans="1:11" ht="57.75" thickBot="1">
      <c r="A2" s="1289" t="s">
        <v>2337</v>
      </c>
      <c r="B2" s="1166" t="s">
        <v>2338</v>
      </c>
      <c r="C2" s="1330" t="s">
        <v>2357</v>
      </c>
      <c r="D2" s="1331" t="s">
        <v>1266</v>
      </c>
      <c r="E2" s="1331" t="s">
        <v>2358</v>
      </c>
      <c r="F2" s="1332" t="s">
        <v>2359</v>
      </c>
      <c r="I2" s="1415"/>
      <c r="J2" s="1415"/>
      <c r="K2" s="1415"/>
    </row>
    <row r="3" spans="1:11" ht="15" thickBot="1">
      <c r="A3" s="1291" t="s">
        <v>2342</v>
      </c>
      <c r="B3" s="1292" t="s">
        <v>2343</v>
      </c>
      <c r="C3" s="1293">
        <v>322</v>
      </c>
      <c r="D3" s="1293">
        <v>340</v>
      </c>
      <c r="E3" s="1322">
        <f>C3/D3</f>
        <v>0.94705882352941173</v>
      </c>
      <c r="F3" s="1323">
        <f>IF(E3&gt;=0.95,2,IF(E3&gt;=0.9,1,0))</f>
        <v>1</v>
      </c>
      <c r="J3" t="s">
        <v>2360</v>
      </c>
      <c r="K3" t="s">
        <v>2361</v>
      </c>
    </row>
    <row r="4" spans="1:11" ht="15" thickBot="1">
      <c r="A4" s="1297" t="s">
        <v>2344</v>
      </c>
      <c r="B4" s="39" t="s">
        <v>2343</v>
      </c>
      <c r="C4" s="1298">
        <v>3</v>
      </c>
      <c r="D4" s="1298">
        <v>3</v>
      </c>
      <c r="E4" s="1322">
        <f t="shared" ref="E4:E10" si="0">C4/D4</f>
        <v>1</v>
      </c>
      <c r="F4" s="1323">
        <f t="shared" ref="F4:F52" si="1">IF(E4&gt;=0.95,2,IF(E4&gt;=0.9,1,0))</f>
        <v>2</v>
      </c>
      <c r="I4" s="1300" t="s">
        <v>2258</v>
      </c>
      <c r="J4" s="1301">
        <v>1.5</v>
      </c>
      <c r="K4" s="1177">
        <v>0.94091313502363216</v>
      </c>
    </row>
    <row r="5" spans="1:11" ht="15" thickBot="1">
      <c r="A5" s="1297" t="s">
        <v>2345</v>
      </c>
      <c r="B5" s="39" t="s">
        <v>2343</v>
      </c>
      <c r="C5" s="1298">
        <v>10</v>
      </c>
      <c r="D5" s="1298">
        <v>10</v>
      </c>
      <c r="E5" s="1322">
        <f t="shared" si="0"/>
        <v>1</v>
      </c>
      <c r="F5" s="1323">
        <f t="shared" si="1"/>
        <v>2</v>
      </c>
      <c r="I5" s="1300" t="s">
        <v>2255</v>
      </c>
      <c r="J5" s="1301">
        <v>1.6</v>
      </c>
      <c r="K5" s="1177">
        <v>0.94842909504040074</v>
      </c>
    </row>
    <row r="6" spans="1:11" ht="15" thickBot="1">
      <c r="A6" s="1297" t="s">
        <v>2346</v>
      </c>
      <c r="B6" s="39" t="s">
        <v>2343</v>
      </c>
      <c r="C6" s="1298">
        <v>383</v>
      </c>
      <c r="D6" s="1298">
        <v>401</v>
      </c>
      <c r="E6" s="1322">
        <f t="shared" si="0"/>
        <v>0.95511221945137159</v>
      </c>
      <c r="F6" s="1323">
        <f t="shared" si="1"/>
        <v>2</v>
      </c>
      <c r="I6" s="1300" t="s">
        <v>2256</v>
      </c>
      <c r="J6" s="1301">
        <v>1.3333333333333333</v>
      </c>
      <c r="K6" s="1177">
        <v>0.88657407407407407</v>
      </c>
    </row>
    <row r="7" spans="1:11" ht="15" thickBot="1">
      <c r="A7" s="1333" t="s">
        <v>2347</v>
      </c>
      <c r="B7" s="1334" t="s">
        <v>2343</v>
      </c>
      <c r="C7" s="1335">
        <v>21</v>
      </c>
      <c r="D7" s="1335">
        <v>23</v>
      </c>
      <c r="E7" s="1322">
        <f t="shared" si="0"/>
        <v>0.91304347826086951</v>
      </c>
      <c r="F7" s="1323">
        <f t="shared" si="1"/>
        <v>1</v>
      </c>
      <c r="I7" s="1300" t="s">
        <v>2254</v>
      </c>
      <c r="J7" s="1301">
        <v>1.5</v>
      </c>
      <c r="K7" s="1177">
        <v>0.95091102628123303</v>
      </c>
    </row>
    <row r="8" spans="1:11" ht="15" thickBot="1">
      <c r="A8" s="1291" t="s">
        <v>2342</v>
      </c>
      <c r="B8" s="1292" t="s">
        <v>2348</v>
      </c>
      <c r="C8" s="1293">
        <v>2611</v>
      </c>
      <c r="D8" s="1293">
        <v>2736</v>
      </c>
      <c r="E8" s="1322">
        <f t="shared" si="0"/>
        <v>0.95431286549707606</v>
      </c>
      <c r="F8" s="1323">
        <f t="shared" si="1"/>
        <v>2</v>
      </c>
      <c r="I8" s="1300" t="s">
        <v>2257</v>
      </c>
      <c r="J8" s="1301">
        <v>1.5</v>
      </c>
      <c r="K8" s="1177">
        <v>0.96991578838699688</v>
      </c>
    </row>
    <row r="9" spans="1:11" ht="15" thickBot="1">
      <c r="A9" s="1297" t="s">
        <v>2344</v>
      </c>
      <c r="B9" s="39" t="s">
        <v>2348</v>
      </c>
      <c r="C9" s="1298">
        <v>14</v>
      </c>
      <c r="D9" s="1298">
        <v>16</v>
      </c>
      <c r="E9" s="1322">
        <f t="shared" si="0"/>
        <v>0.875</v>
      </c>
      <c r="F9" s="1323">
        <f t="shared" si="1"/>
        <v>0</v>
      </c>
    </row>
    <row r="10" spans="1:11" ht="15" thickBot="1">
      <c r="A10" s="1297" t="s">
        <v>2345</v>
      </c>
      <c r="B10" s="39" t="s">
        <v>2348</v>
      </c>
      <c r="C10" s="1298">
        <v>419</v>
      </c>
      <c r="D10" s="1298">
        <v>442</v>
      </c>
      <c r="E10" s="1322">
        <f t="shared" si="0"/>
        <v>0.94796380090497734</v>
      </c>
      <c r="F10" s="1323">
        <f t="shared" si="1"/>
        <v>1</v>
      </c>
    </row>
    <row r="11" spans="1:11" ht="15" thickBot="1">
      <c r="A11" s="1297" t="s">
        <v>2346</v>
      </c>
      <c r="B11" s="39" t="s">
        <v>2348</v>
      </c>
      <c r="C11" s="1298">
        <v>244</v>
      </c>
      <c r="D11" s="1298">
        <v>255</v>
      </c>
      <c r="E11" s="1322">
        <f>C11/D11</f>
        <v>0.95686274509803926</v>
      </c>
      <c r="F11" s="1323">
        <f t="shared" si="1"/>
        <v>2</v>
      </c>
    </row>
    <row r="12" spans="1:11" ht="15" thickBot="1">
      <c r="A12" s="1333" t="s">
        <v>2347</v>
      </c>
      <c r="B12" s="1334" t="s">
        <v>2348</v>
      </c>
      <c r="C12" s="1335">
        <v>38</v>
      </c>
      <c r="D12" s="1335">
        <v>38</v>
      </c>
      <c r="E12" s="1322">
        <f t="shared" ref="E12:E52" si="2">C12/D12</f>
        <v>1</v>
      </c>
      <c r="F12" s="1323">
        <f t="shared" si="1"/>
        <v>2</v>
      </c>
      <c r="I12" t="s">
        <v>2380</v>
      </c>
    </row>
    <row r="13" spans="1:11" ht="15" thickBot="1">
      <c r="A13" s="1291" t="s">
        <v>2255</v>
      </c>
      <c r="B13" s="1292" t="s">
        <v>2349</v>
      </c>
      <c r="C13" s="1293">
        <v>3722</v>
      </c>
      <c r="D13" s="1293">
        <v>3911</v>
      </c>
      <c r="E13" s="1322">
        <f t="shared" si="2"/>
        <v>0.95167476348759905</v>
      </c>
      <c r="F13" s="1323">
        <f t="shared" si="1"/>
        <v>2</v>
      </c>
      <c r="I13" t="s">
        <v>2381</v>
      </c>
    </row>
    <row r="14" spans="1:11" ht="15" thickBot="1">
      <c r="A14" s="1297" t="s">
        <v>2256</v>
      </c>
      <c r="B14" s="39" t="s">
        <v>2349</v>
      </c>
      <c r="C14" s="1298">
        <v>0</v>
      </c>
      <c r="D14" s="1298">
        <v>0</v>
      </c>
      <c r="E14" s="1322"/>
      <c r="F14" s="1323"/>
      <c r="I14" t="s">
        <v>2382</v>
      </c>
    </row>
    <row r="15" spans="1:11" ht="15" thickBot="1">
      <c r="A15" s="1297" t="s">
        <v>2257</v>
      </c>
      <c r="B15" s="39" t="s">
        <v>2349</v>
      </c>
      <c r="C15" s="1298">
        <v>0</v>
      </c>
      <c r="D15" s="1298">
        <v>0</v>
      </c>
      <c r="E15" s="1322"/>
      <c r="F15" s="1323"/>
    </row>
    <row r="16" spans="1:11" ht="15" thickBot="1">
      <c r="A16" s="1297" t="s">
        <v>2258</v>
      </c>
      <c r="B16" s="39" t="s">
        <v>2349</v>
      </c>
      <c r="C16" s="1298">
        <v>2317</v>
      </c>
      <c r="D16" s="1298">
        <v>2458</v>
      </c>
      <c r="E16" s="1322">
        <f t="shared" si="2"/>
        <v>0.94263628966639545</v>
      </c>
      <c r="F16" s="1323">
        <f t="shared" si="1"/>
        <v>1</v>
      </c>
    </row>
    <row r="17" spans="1:10" ht="15" thickBot="1">
      <c r="A17" s="1302" t="s">
        <v>2254</v>
      </c>
      <c r="B17" s="1303" t="s">
        <v>2349</v>
      </c>
      <c r="C17" s="1304">
        <v>86</v>
      </c>
      <c r="D17" s="1304">
        <v>87</v>
      </c>
      <c r="E17" s="1322">
        <f t="shared" si="2"/>
        <v>0.9885057471264368</v>
      </c>
      <c r="F17" s="1323">
        <f t="shared" si="1"/>
        <v>2</v>
      </c>
    </row>
    <row r="18" spans="1:10" ht="15" thickBot="1">
      <c r="A18" s="1291" t="s">
        <v>2342</v>
      </c>
      <c r="B18" s="1336" t="s">
        <v>2350</v>
      </c>
      <c r="C18" s="1337">
        <v>498</v>
      </c>
      <c r="D18" s="1337">
        <v>551</v>
      </c>
      <c r="E18" s="1322">
        <f t="shared" si="2"/>
        <v>0.90381125226860259</v>
      </c>
      <c r="F18" s="1323">
        <f t="shared" si="1"/>
        <v>1</v>
      </c>
    </row>
    <row r="19" spans="1:10" ht="15" thickBot="1">
      <c r="A19" s="1297" t="s">
        <v>2344</v>
      </c>
      <c r="B19" s="1338" t="s">
        <v>2350</v>
      </c>
      <c r="C19" s="1298">
        <v>0</v>
      </c>
      <c r="D19" s="1298">
        <v>0</v>
      </c>
      <c r="E19" s="1322"/>
      <c r="F19" s="1323"/>
    </row>
    <row r="20" spans="1:10" ht="15" thickBot="1">
      <c r="A20" s="1297" t="s">
        <v>2345</v>
      </c>
      <c r="B20" s="1338" t="s">
        <v>2350</v>
      </c>
      <c r="C20" s="1298">
        <v>587</v>
      </c>
      <c r="D20" s="1298">
        <v>620</v>
      </c>
      <c r="E20" s="1322">
        <f t="shared" si="2"/>
        <v>0.9467741935483871</v>
      </c>
      <c r="F20" s="1323">
        <f t="shared" si="1"/>
        <v>1</v>
      </c>
      <c r="J20" s="860" t="s">
        <v>2466</v>
      </c>
    </row>
    <row r="21" spans="1:10" ht="15" thickBot="1">
      <c r="A21" s="1297" t="s">
        <v>2346</v>
      </c>
      <c r="B21" s="1338" t="s">
        <v>2350</v>
      </c>
      <c r="C21" s="1298">
        <v>0</v>
      </c>
      <c r="D21" s="1298">
        <v>0</v>
      </c>
      <c r="E21" s="1322"/>
      <c r="F21" s="1323"/>
      <c r="J21" s="860" t="s">
        <v>2467</v>
      </c>
    </row>
    <row r="22" spans="1:10" ht="15" thickBot="1">
      <c r="A22" s="1302" t="s">
        <v>2347</v>
      </c>
      <c r="B22" s="1339" t="s">
        <v>2350</v>
      </c>
      <c r="C22" s="1304">
        <v>20</v>
      </c>
      <c r="D22" s="1304">
        <v>21</v>
      </c>
      <c r="E22" s="1322">
        <f t="shared" si="2"/>
        <v>0.95238095238095233</v>
      </c>
      <c r="F22" s="1323">
        <f t="shared" si="1"/>
        <v>2</v>
      </c>
      <c r="J22" s="860" t="s">
        <v>2468</v>
      </c>
    </row>
    <row r="23" spans="1:10" ht="15" thickBot="1">
      <c r="A23" s="1291" t="s">
        <v>2342</v>
      </c>
      <c r="B23" s="1336" t="s">
        <v>2351</v>
      </c>
      <c r="C23" s="1293">
        <v>3185</v>
      </c>
      <c r="D23" s="1293">
        <v>3401</v>
      </c>
      <c r="E23" s="1322">
        <f t="shared" si="2"/>
        <v>0.93648926786239339</v>
      </c>
      <c r="F23" s="1323">
        <f t="shared" si="1"/>
        <v>1</v>
      </c>
    </row>
    <row r="24" spans="1:10" ht="15" thickBot="1">
      <c r="A24" s="1297" t="s">
        <v>2344</v>
      </c>
      <c r="B24" s="1338" t="s">
        <v>2351</v>
      </c>
      <c r="C24" s="1298">
        <v>4</v>
      </c>
      <c r="D24" s="1298">
        <v>9</v>
      </c>
      <c r="E24" s="1322">
        <f t="shared" si="2"/>
        <v>0.44444444444444442</v>
      </c>
      <c r="F24" s="1323">
        <f t="shared" si="1"/>
        <v>0</v>
      </c>
    </row>
    <row r="25" spans="1:10" ht="15" thickBot="1">
      <c r="A25" s="1297" t="s">
        <v>2345</v>
      </c>
      <c r="B25" s="1338" t="s">
        <v>2351</v>
      </c>
      <c r="C25" s="1298">
        <v>66</v>
      </c>
      <c r="D25" s="1298">
        <v>75</v>
      </c>
      <c r="E25" s="1322">
        <f t="shared" si="2"/>
        <v>0.88</v>
      </c>
      <c r="F25" s="1323">
        <f t="shared" si="1"/>
        <v>0</v>
      </c>
    </row>
    <row r="26" spans="1:10" ht="15" thickBot="1">
      <c r="A26" s="1297" t="s">
        <v>2346</v>
      </c>
      <c r="B26" s="1338" t="s">
        <v>2351</v>
      </c>
      <c r="C26" s="1298">
        <v>991</v>
      </c>
      <c r="D26" s="1298">
        <v>1099</v>
      </c>
      <c r="E26" s="1322">
        <f t="shared" si="2"/>
        <v>0.90172884440400369</v>
      </c>
      <c r="F26" s="1323">
        <f t="shared" si="1"/>
        <v>1</v>
      </c>
    </row>
    <row r="27" spans="1:10" ht="15" thickBot="1">
      <c r="A27" s="1302" t="s">
        <v>2347</v>
      </c>
      <c r="B27" s="1339" t="s">
        <v>2351</v>
      </c>
      <c r="C27" s="1340">
        <v>32</v>
      </c>
      <c r="D27" s="1340">
        <v>32</v>
      </c>
      <c r="E27" s="1322">
        <f t="shared" si="2"/>
        <v>1</v>
      </c>
      <c r="F27" s="1323">
        <f t="shared" si="1"/>
        <v>2</v>
      </c>
    </row>
    <row r="28" spans="1:10" ht="15" thickBot="1">
      <c r="A28" s="1291" t="s">
        <v>2342</v>
      </c>
      <c r="B28" s="1336" t="s">
        <v>2352</v>
      </c>
      <c r="C28" s="1293">
        <v>3493</v>
      </c>
      <c r="D28" s="1293">
        <v>3629</v>
      </c>
      <c r="E28" s="1322">
        <f t="shared" si="2"/>
        <v>0.96252411132543403</v>
      </c>
      <c r="F28" s="1323">
        <f t="shared" si="1"/>
        <v>2</v>
      </c>
    </row>
    <row r="29" spans="1:10" ht="15" thickBot="1">
      <c r="A29" s="1297" t="s">
        <v>2344</v>
      </c>
      <c r="B29" s="1338" t="s">
        <v>2352</v>
      </c>
      <c r="C29" s="1298">
        <v>27</v>
      </c>
      <c r="D29" s="1298">
        <v>27</v>
      </c>
      <c r="E29" s="1322">
        <f t="shared" si="2"/>
        <v>1</v>
      </c>
      <c r="F29" s="1323">
        <f t="shared" si="1"/>
        <v>2</v>
      </c>
    </row>
    <row r="30" spans="1:10" ht="15" thickBot="1">
      <c r="A30" s="1297" t="s">
        <v>2345</v>
      </c>
      <c r="B30" s="1338" t="s">
        <v>2352</v>
      </c>
      <c r="C30" s="1298">
        <v>152</v>
      </c>
      <c r="D30" s="1298">
        <v>153</v>
      </c>
      <c r="E30" s="1322">
        <f t="shared" si="2"/>
        <v>0.99346405228758172</v>
      </c>
      <c r="F30" s="1323">
        <f t="shared" si="1"/>
        <v>2</v>
      </c>
    </row>
    <row r="31" spans="1:10" ht="15" thickBot="1">
      <c r="A31" s="1297" t="s">
        <v>2346</v>
      </c>
      <c r="B31" s="1338" t="s">
        <v>2352</v>
      </c>
      <c r="C31" s="1298">
        <v>1741</v>
      </c>
      <c r="D31" s="1298">
        <v>1899</v>
      </c>
      <c r="E31" s="1322">
        <f t="shared" si="2"/>
        <v>0.91679831490258035</v>
      </c>
      <c r="F31" s="1323">
        <f t="shared" si="1"/>
        <v>1</v>
      </c>
    </row>
    <row r="32" spans="1:10" ht="15" thickBot="1">
      <c r="A32" s="1302" t="s">
        <v>2347</v>
      </c>
      <c r="B32" s="1339" t="s">
        <v>2352</v>
      </c>
      <c r="C32" s="1304">
        <v>88</v>
      </c>
      <c r="D32" s="1304">
        <v>89</v>
      </c>
      <c r="E32" s="1322">
        <f t="shared" si="2"/>
        <v>0.9887640449438202</v>
      </c>
      <c r="F32" s="1323">
        <f t="shared" si="1"/>
        <v>2</v>
      </c>
    </row>
    <row r="33" spans="1:6" ht="15" thickBot="1">
      <c r="A33" s="1291" t="s">
        <v>2255</v>
      </c>
      <c r="B33" s="1336" t="s">
        <v>2353</v>
      </c>
      <c r="C33" s="1293">
        <v>805</v>
      </c>
      <c r="D33" s="1293">
        <v>854</v>
      </c>
      <c r="E33" s="1322">
        <f t="shared" si="2"/>
        <v>0.94262295081967218</v>
      </c>
      <c r="F33" s="1323">
        <f t="shared" si="1"/>
        <v>1</v>
      </c>
    </row>
    <row r="34" spans="1:6" ht="15" thickBot="1">
      <c r="A34" s="1297" t="s">
        <v>2256</v>
      </c>
      <c r="B34" s="39" t="s">
        <v>2353</v>
      </c>
      <c r="C34" s="1298">
        <v>0</v>
      </c>
      <c r="D34" s="1298">
        <v>0</v>
      </c>
      <c r="E34" s="1322"/>
      <c r="F34" s="1323"/>
    </row>
    <row r="35" spans="1:6" ht="15" thickBot="1">
      <c r="A35" s="1297" t="s">
        <v>2257</v>
      </c>
      <c r="B35" s="39" t="s">
        <v>2353</v>
      </c>
      <c r="C35" s="1298">
        <v>0</v>
      </c>
      <c r="D35" s="1298">
        <v>0</v>
      </c>
      <c r="E35" s="1322"/>
      <c r="F35" s="1323"/>
    </row>
    <row r="36" spans="1:6" ht="15" thickBot="1">
      <c r="A36" s="1297" t="s">
        <v>2258</v>
      </c>
      <c r="B36" s="1338" t="s">
        <v>2353</v>
      </c>
      <c r="C36" s="1298">
        <v>0</v>
      </c>
      <c r="D36" s="1298">
        <v>0</v>
      </c>
      <c r="E36" s="1322"/>
      <c r="F36" s="1323"/>
    </row>
    <row r="37" spans="1:6" ht="15" thickBot="1">
      <c r="A37" s="1302" t="s">
        <v>2254</v>
      </c>
      <c r="B37" s="1339" t="s">
        <v>2353</v>
      </c>
      <c r="C37" s="1304">
        <v>15</v>
      </c>
      <c r="D37" s="1304">
        <v>15</v>
      </c>
      <c r="E37" s="1322">
        <f t="shared" si="2"/>
        <v>1</v>
      </c>
      <c r="F37" s="1323">
        <f t="shared" si="1"/>
        <v>2</v>
      </c>
    </row>
    <row r="38" spans="1:6" ht="15" thickBot="1">
      <c r="A38" s="1291" t="s">
        <v>2342</v>
      </c>
      <c r="B38" s="1336" t="s">
        <v>2354</v>
      </c>
      <c r="C38" s="1337">
        <v>3121</v>
      </c>
      <c r="D38" s="1337">
        <v>3280</v>
      </c>
      <c r="E38" s="1322">
        <f t="shared" si="2"/>
        <v>0.95152439024390245</v>
      </c>
      <c r="F38" s="1323">
        <f t="shared" si="1"/>
        <v>2</v>
      </c>
    </row>
    <row r="39" spans="1:6" ht="15" thickBot="1">
      <c r="A39" s="1297" t="s">
        <v>2344</v>
      </c>
      <c r="B39" s="1338" t="s">
        <v>2354</v>
      </c>
      <c r="C39" s="1298">
        <v>6</v>
      </c>
      <c r="D39" s="1298">
        <v>6</v>
      </c>
      <c r="E39" s="1322">
        <f t="shared" si="2"/>
        <v>1</v>
      </c>
      <c r="F39" s="1323">
        <f t="shared" si="1"/>
        <v>2</v>
      </c>
    </row>
    <row r="40" spans="1:6" ht="15" thickBot="1">
      <c r="A40" s="1297" t="s">
        <v>2345</v>
      </c>
      <c r="B40" s="1338" t="s">
        <v>2354</v>
      </c>
      <c r="C40" s="1298">
        <v>335</v>
      </c>
      <c r="D40" s="1298">
        <v>338</v>
      </c>
      <c r="E40" s="1322">
        <f t="shared" si="2"/>
        <v>0.99112426035502954</v>
      </c>
      <c r="F40" s="1323">
        <f t="shared" si="1"/>
        <v>2</v>
      </c>
    </row>
    <row r="41" spans="1:6" ht="15" thickBot="1">
      <c r="A41" s="1297" t="s">
        <v>2346</v>
      </c>
      <c r="B41" s="1338" t="s">
        <v>2354</v>
      </c>
      <c r="C41" s="1298">
        <v>1004</v>
      </c>
      <c r="D41" s="1298">
        <v>1056</v>
      </c>
      <c r="E41" s="1322">
        <f t="shared" si="2"/>
        <v>0.9507575757575758</v>
      </c>
      <c r="F41" s="1323">
        <f t="shared" si="1"/>
        <v>2</v>
      </c>
    </row>
    <row r="42" spans="1:6" ht="15" thickBot="1">
      <c r="A42" s="1302" t="s">
        <v>2347</v>
      </c>
      <c r="B42" s="1339" t="s">
        <v>2354</v>
      </c>
      <c r="C42" s="1304">
        <v>36</v>
      </c>
      <c r="D42" s="1304">
        <v>38</v>
      </c>
      <c r="E42" s="1322">
        <f t="shared" si="2"/>
        <v>0.94736842105263153</v>
      </c>
      <c r="F42" s="1323">
        <f t="shared" si="1"/>
        <v>1</v>
      </c>
    </row>
    <row r="43" spans="1:6" ht="15" thickBot="1">
      <c r="A43" s="1291" t="s">
        <v>2342</v>
      </c>
      <c r="B43" s="1336" t="s">
        <v>2355</v>
      </c>
      <c r="C43" s="1293">
        <v>919</v>
      </c>
      <c r="D43" s="1293">
        <v>947</v>
      </c>
      <c r="E43" s="1322">
        <f t="shared" si="2"/>
        <v>0.97043294614572329</v>
      </c>
      <c r="F43" s="1323">
        <f t="shared" si="1"/>
        <v>2</v>
      </c>
    </row>
    <row r="44" spans="1:6" ht="15" thickBot="1">
      <c r="A44" s="1297" t="s">
        <v>2344</v>
      </c>
      <c r="B44" s="1341" t="s">
        <v>2355</v>
      </c>
      <c r="C44" s="1298">
        <v>0</v>
      </c>
      <c r="D44" s="1298">
        <v>0</v>
      </c>
      <c r="E44" s="1322"/>
      <c r="F44" s="1323"/>
    </row>
    <row r="45" spans="1:6" ht="15" thickBot="1">
      <c r="A45" s="1297" t="s">
        <v>2345</v>
      </c>
      <c r="B45" s="1341" t="s">
        <v>2355</v>
      </c>
      <c r="C45" s="1298">
        <v>2</v>
      </c>
      <c r="D45" s="1298">
        <v>2</v>
      </c>
      <c r="E45" s="1322">
        <f t="shared" si="2"/>
        <v>1</v>
      </c>
      <c r="F45" s="1323">
        <f t="shared" si="1"/>
        <v>2</v>
      </c>
    </row>
    <row r="46" spans="1:6" ht="15" thickBot="1">
      <c r="A46" s="1297" t="s">
        <v>2346</v>
      </c>
      <c r="B46" s="1341" t="s">
        <v>2355</v>
      </c>
      <c r="C46" s="1298">
        <v>93</v>
      </c>
      <c r="D46" s="1298">
        <v>96</v>
      </c>
      <c r="E46" s="1322">
        <f t="shared" si="2"/>
        <v>0.96875</v>
      </c>
      <c r="F46" s="1323">
        <f t="shared" si="1"/>
        <v>2</v>
      </c>
    </row>
    <row r="47" spans="1:6" ht="15" thickBot="1">
      <c r="A47" s="1333" t="s">
        <v>2347</v>
      </c>
      <c r="B47" s="1342" t="s">
        <v>2355</v>
      </c>
      <c r="C47" s="1343">
        <v>14</v>
      </c>
      <c r="D47" s="1343">
        <v>15</v>
      </c>
      <c r="E47" s="1322">
        <f t="shared" si="2"/>
        <v>0.93333333333333335</v>
      </c>
      <c r="F47" s="1323">
        <f t="shared" si="1"/>
        <v>1</v>
      </c>
    </row>
    <row r="48" spans="1:6" ht="15" thickBot="1">
      <c r="A48" s="1291" t="s">
        <v>2255</v>
      </c>
      <c r="B48" s="1292" t="s">
        <v>2356</v>
      </c>
      <c r="C48" s="1293">
        <v>1466</v>
      </c>
      <c r="D48" s="1293">
        <v>1521</v>
      </c>
      <c r="E48" s="1322">
        <f t="shared" si="2"/>
        <v>0.96383957922419461</v>
      </c>
      <c r="F48" s="1323">
        <f t="shared" si="1"/>
        <v>2</v>
      </c>
    </row>
    <row r="49" spans="1:6" ht="15" thickBot="1">
      <c r="A49" s="1297" t="s">
        <v>2256</v>
      </c>
      <c r="B49" s="39" t="s">
        <v>2356</v>
      </c>
      <c r="C49" s="1298">
        <v>1</v>
      </c>
      <c r="D49" s="1298">
        <v>1</v>
      </c>
      <c r="E49" s="1322">
        <f t="shared" si="2"/>
        <v>1</v>
      </c>
      <c r="F49" s="1323">
        <f t="shared" si="1"/>
        <v>2</v>
      </c>
    </row>
    <row r="50" spans="1:6" ht="15" thickBot="1">
      <c r="A50" s="1297" t="s">
        <v>2257</v>
      </c>
      <c r="B50" s="39" t="s">
        <v>2356</v>
      </c>
      <c r="C50" s="1298">
        <v>11</v>
      </c>
      <c r="D50" s="1298">
        <v>11</v>
      </c>
      <c r="E50" s="1322">
        <f t="shared" si="2"/>
        <v>1</v>
      </c>
      <c r="F50" s="1323">
        <f t="shared" si="1"/>
        <v>2</v>
      </c>
    </row>
    <row r="51" spans="1:6" ht="15" thickBot="1">
      <c r="A51" s="1297" t="s">
        <v>2258</v>
      </c>
      <c r="B51" s="39" t="s">
        <v>2356</v>
      </c>
      <c r="C51" s="1298">
        <v>329</v>
      </c>
      <c r="D51" s="1298">
        <v>352</v>
      </c>
      <c r="E51" s="1322">
        <f t="shared" si="2"/>
        <v>0.93465909090909094</v>
      </c>
      <c r="F51" s="1323">
        <f t="shared" si="1"/>
        <v>1</v>
      </c>
    </row>
    <row r="52" spans="1:6" ht="15" thickBot="1">
      <c r="A52" s="1302" t="s">
        <v>2254</v>
      </c>
      <c r="B52" s="1303" t="s">
        <v>2356</v>
      </c>
      <c r="C52" s="1304">
        <v>11</v>
      </c>
      <c r="D52" s="1304">
        <v>14</v>
      </c>
      <c r="E52" s="1322">
        <f t="shared" si="2"/>
        <v>0.7857142857142857</v>
      </c>
      <c r="F52" s="1323">
        <f t="shared" si="1"/>
        <v>0</v>
      </c>
    </row>
    <row r="53" spans="1:6">
      <c r="F53" s="1268"/>
    </row>
  </sheetData>
  <mergeCells count="1">
    <mergeCell ref="I2:K2"/>
  </mergeCells>
  <phoneticPr fontId="3" type="noConversion"/>
  <hyperlinks>
    <hyperlink ref="J20" location="'总公司绩效-II'!A1" display="总公司绩效-II"/>
    <hyperlink ref="J21" location="目录!A1" display="目录"/>
    <hyperlink ref="J22" location="'OR04-分公司销售、承保、保全'!A1" display="OR04"/>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B0F0"/>
  </sheetPr>
  <dimension ref="A1:I1450"/>
  <sheetViews>
    <sheetView workbookViewId="0">
      <selection activeCell="G25" sqref="G25"/>
    </sheetView>
  </sheetViews>
  <sheetFormatPr defaultRowHeight="13.5"/>
  <cols>
    <col min="1" max="1" width="8.875" style="1347" bestFit="1" customWidth="1"/>
    <col min="2" max="3" width="9.875" style="1347" bestFit="1" customWidth="1"/>
    <col min="4" max="4" width="10.875" style="1350" bestFit="1" customWidth="1"/>
    <col min="5" max="5" width="9" style="32"/>
    <col min="7" max="7" width="9.75" customWidth="1"/>
    <col min="8" max="8" width="15.375" bestFit="1" customWidth="1"/>
    <col min="9" max="9" width="22" bestFit="1" customWidth="1"/>
  </cols>
  <sheetData>
    <row r="1" spans="1:9">
      <c r="A1" s="1346" t="s">
        <v>2365</v>
      </c>
      <c r="B1" s="1346" t="s">
        <v>2366</v>
      </c>
      <c r="C1" s="1346" t="s">
        <v>2367</v>
      </c>
      <c r="D1" s="1348" t="s">
        <v>2368</v>
      </c>
      <c r="E1" s="1346" t="s">
        <v>2369</v>
      </c>
    </row>
    <row r="2" spans="1:9" ht="14.25">
      <c r="A2" s="1298" t="s">
        <v>2255</v>
      </c>
      <c r="B2" s="1298">
        <v>136.84100000000001</v>
      </c>
      <c r="C2" s="1298">
        <v>137.14169999999999</v>
      </c>
      <c r="D2" s="1349">
        <v>0.99780737733307956</v>
      </c>
      <c r="E2" s="1178">
        <f>IF(D2&gt;0.9,3,IF(D2&gt;0.8,1.5,0))</f>
        <v>3</v>
      </c>
    </row>
    <row r="3" spans="1:9" ht="14.25">
      <c r="A3" s="1298" t="s">
        <v>2258</v>
      </c>
      <c r="B3" s="1298">
        <v>32.282800000000002</v>
      </c>
      <c r="C3" s="1298">
        <v>32.65</v>
      </c>
      <c r="D3" s="1349">
        <v>0.98875344563552836</v>
      </c>
      <c r="E3" s="1178">
        <f t="shared" ref="E3:E66" si="0">IF(D3&gt;0.9,3,IF(D3&gt;0.8,1.5,0))</f>
        <v>3</v>
      </c>
    </row>
    <row r="4" spans="1:9" ht="14.25">
      <c r="A4" s="1298" t="s">
        <v>2257</v>
      </c>
      <c r="B4" s="1298">
        <v>0.42659999999999998</v>
      </c>
      <c r="C4" s="1298">
        <v>0.42659999999999998</v>
      </c>
      <c r="D4" s="1349">
        <v>1</v>
      </c>
      <c r="E4" s="1178">
        <f t="shared" si="0"/>
        <v>3</v>
      </c>
    </row>
    <row r="5" spans="1:9" ht="14.25">
      <c r="A5" s="1298" t="s">
        <v>2370</v>
      </c>
      <c r="B5" s="1298">
        <v>0.76080000000000003</v>
      </c>
      <c r="C5" s="1298">
        <v>1.3516999999999999</v>
      </c>
      <c r="D5" s="1349">
        <v>0.56284678552933343</v>
      </c>
      <c r="E5" s="1178">
        <f t="shared" si="0"/>
        <v>0</v>
      </c>
      <c r="H5" s="1344" t="s">
        <v>2372</v>
      </c>
    </row>
    <row r="6" spans="1:9" ht="14.25">
      <c r="A6" s="1298" t="s">
        <v>2371</v>
      </c>
      <c r="B6" s="1298">
        <v>170.31120000000001</v>
      </c>
      <c r="C6" s="1298">
        <v>171.57</v>
      </c>
      <c r="D6" s="1349">
        <v>0.99266305298129043</v>
      </c>
      <c r="E6" s="1178">
        <f t="shared" si="0"/>
        <v>3</v>
      </c>
      <c r="G6" s="1344" t="s">
        <v>2363</v>
      </c>
      <c r="H6" t="s">
        <v>2360</v>
      </c>
      <c r="I6" t="s">
        <v>2373</v>
      </c>
    </row>
    <row r="7" spans="1:9" ht="14.25">
      <c r="A7" s="1298" t="s">
        <v>2255</v>
      </c>
      <c r="B7" s="1298">
        <v>707.10299999999995</v>
      </c>
      <c r="C7" s="1298">
        <v>753.34379999999999</v>
      </c>
      <c r="D7" s="1349">
        <v>0.93861925989169881</v>
      </c>
      <c r="E7" s="1178">
        <f t="shared" si="0"/>
        <v>3</v>
      </c>
      <c r="G7" s="1300" t="s">
        <v>2258</v>
      </c>
      <c r="H7" s="1345">
        <v>2.9158878504672896</v>
      </c>
      <c r="I7" s="1176">
        <v>0.95527166438249989</v>
      </c>
    </row>
    <row r="8" spans="1:9" ht="14.25">
      <c r="A8" s="1298" t="s">
        <v>2257</v>
      </c>
      <c r="B8" s="1298">
        <v>67.568399999999997</v>
      </c>
      <c r="C8" s="1298">
        <v>68.629400000000004</v>
      </c>
      <c r="D8" s="1349">
        <v>0.98454015334535927</v>
      </c>
      <c r="E8" s="1178">
        <f t="shared" si="0"/>
        <v>3</v>
      </c>
      <c r="G8" s="1300" t="s">
        <v>2255</v>
      </c>
      <c r="H8" s="1345">
        <v>2.5952380952380953</v>
      </c>
      <c r="I8" s="1176">
        <v>0.92833815708662415</v>
      </c>
    </row>
    <row r="9" spans="1:9" ht="14.25">
      <c r="A9" s="1298" t="s">
        <v>2370</v>
      </c>
      <c r="B9" s="1298">
        <v>7.8707000000000003</v>
      </c>
      <c r="C9" s="1298">
        <v>7.8716999999999997</v>
      </c>
      <c r="D9" s="1349">
        <v>0.99987296263831194</v>
      </c>
      <c r="E9" s="1178">
        <f t="shared" si="0"/>
        <v>3</v>
      </c>
      <c r="G9" s="1300" t="s">
        <v>2370</v>
      </c>
      <c r="H9" s="1345">
        <v>2.8359375</v>
      </c>
      <c r="I9" s="1176">
        <v>0.97288641932767683</v>
      </c>
    </row>
    <row r="10" spans="1:9" ht="14.25">
      <c r="A10" s="1298" t="s">
        <v>2371</v>
      </c>
      <c r="B10" s="1298">
        <v>782.5421</v>
      </c>
      <c r="C10" s="1298">
        <v>829.84490000000005</v>
      </c>
      <c r="D10" s="1349">
        <v>0.94299802288355328</v>
      </c>
      <c r="E10" s="1178">
        <f t="shared" si="0"/>
        <v>3</v>
      </c>
      <c r="G10" s="1300" t="s">
        <v>2371</v>
      </c>
      <c r="H10" s="1345">
        <v>2.639455782312925</v>
      </c>
      <c r="I10" s="1176">
        <v>0.93128232030160252</v>
      </c>
    </row>
    <row r="11" spans="1:9" ht="14.25">
      <c r="A11" s="1298" t="s">
        <v>2255</v>
      </c>
      <c r="B11" s="1298">
        <v>155.9357</v>
      </c>
      <c r="C11" s="1298">
        <v>178.5959</v>
      </c>
      <c r="D11" s="1349">
        <v>0.87312026759852834</v>
      </c>
      <c r="E11" s="1178">
        <f t="shared" si="0"/>
        <v>1.5</v>
      </c>
      <c r="G11" s="1300" t="s">
        <v>2257</v>
      </c>
      <c r="H11" s="1345">
        <v>2.8382352941176472</v>
      </c>
      <c r="I11" s="1176">
        <v>0.96547441440603621</v>
      </c>
    </row>
    <row r="12" spans="1:9" ht="14.25">
      <c r="A12" s="1298" t="s">
        <v>2370</v>
      </c>
      <c r="B12" s="1298">
        <v>6.6516000000000002</v>
      </c>
      <c r="C12" s="1298">
        <v>6.6521999999999997</v>
      </c>
      <c r="D12" s="1349">
        <v>0.99990980427527731</v>
      </c>
      <c r="E12" s="1178">
        <f t="shared" si="0"/>
        <v>3</v>
      </c>
    </row>
    <row r="13" spans="1:9" ht="14.25">
      <c r="A13" s="1298" t="s">
        <v>2371</v>
      </c>
      <c r="B13" s="1298">
        <v>162.5873</v>
      </c>
      <c r="C13" s="1298">
        <v>185.24809999999999</v>
      </c>
      <c r="D13" s="1349">
        <v>0.87767323929368235</v>
      </c>
      <c r="E13" s="1178">
        <f t="shared" si="0"/>
        <v>1.5</v>
      </c>
    </row>
    <row r="14" spans="1:9" ht="14.25">
      <c r="A14" s="1298" t="s">
        <v>2255</v>
      </c>
      <c r="B14" s="1298">
        <v>54.380600000000001</v>
      </c>
      <c r="C14" s="1298">
        <v>54.393099999999997</v>
      </c>
      <c r="D14" s="1349">
        <v>0.99977019143972301</v>
      </c>
      <c r="E14" s="1178">
        <f t="shared" si="0"/>
        <v>3</v>
      </c>
    </row>
    <row r="15" spans="1:9" ht="14.25">
      <c r="A15" s="1298" t="s">
        <v>2258</v>
      </c>
      <c r="B15" s="1298">
        <v>131.4083</v>
      </c>
      <c r="C15" s="1298">
        <v>134.2911</v>
      </c>
      <c r="D15" s="1349">
        <v>0.97853320138117861</v>
      </c>
      <c r="E15" s="1178">
        <f t="shared" si="0"/>
        <v>3</v>
      </c>
    </row>
    <row r="16" spans="1:9" ht="14.25">
      <c r="A16" s="1298" t="s">
        <v>2257</v>
      </c>
      <c r="B16" s="1298">
        <v>213.2647</v>
      </c>
      <c r="C16" s="1298">
        <v>224.56010000000001</v>
      </c>
      <c r="D16" s="1349">
        <v>0.94969987989852156</v>
      </c>
      <c r="E16" s="1178">
        <f t="shared" si="0"/>
        <v>3</v>
      </c>
      <c r="G16" t="s">
        <v>2385</v>
      </c>
    </row>
    <row r="17" spans="1:7" ht="14.25">
      <c r="A17" s="1298" t="s">
        <v>2370</v>
      </c>
      <c r="B17" s="1298">
        <v>5.7061999999999999</v>
      </c>
      <c r="C17" s="1298">
        <v>5.8571999999999997</v>
      </c>
      <c r="D17" s="1349">
        <v>0.97421976370962238</v>
      </c>
      <c r="E17" s="1178">
        <f t="shared" si="0"/>
        <v>3</v>
      </c>
      <c r="G17" t="s">
        <v>2384</v>
      </c>
    </row>
    <row r="18" spans="1:7" ht="14.25">
      <c r="A18" s="1298" t="s">
        <v>2371</v>
      </c>
      <c r="B18" s="1298">
        <v>404.75979999999998</v>
      </c>
      <c r="C18" s="1298">
        <v>419.10149999999999</v>
      </c>
      <c r="D18" s="1349">
        <v>0.96577988864272735</v>
      </c>
      <c r="E18" s="1178">
        <f t="shared" si="0"/>
        <v>3</v>
      </c>
      <c r="G18" t="s">
        <v>2382</v>
      </c>
    </row>
    <row r="19" spans="1:7" ht="14.25">
      <c r="A19" s="1298" t="s">
        <v>2255</v>
      </c>
      <c r="B19" s="1298">
        <v>159.36000000000001</v>
      </c>
      <c r="C19" s="1298">
        <v>163.12260000000001</v>
      </c>
      <c r="D19" s="1349">
        <v>0.97693391351045167</v>
      </c>
      <c r="E19" s="1178">
        <f t="shared" si="0"/>
        <v>3</v>
      </c>
    </row>
    <row r="20" spans="1:7" ht="14.25">
      <c r="A20" s="1298" t="s">
        <v>2370</v>
      </c>
      <c r="B20" s="1298">
        <v>3.7120000000000002</v>
      </c>
      <c r="C20" s="1298">
        <v>3.7151999999999998</v>
      </c>
      <c r="D20" s="1349">
        <v>0.99913867355727826</v>
      </c>
      <c r="E20" s="1178">
        <f t="shared" si="0"/>
        <v>3</v>
      </c>
    </row>
    <row r="21" spans="1:7" ht="14.25">
      <c r="A21" s="1298" t="s">
        <v>2371</v>
      </c>
      <c r="B21" s="1298">
        <v>163.072</v>
      </c>
      <c r="C21" s="1298">
        <v>166.83779999999999</v>
      </c>
      <c r="D21" s="1349">
        <v>0.97742837654296566</v>
      </c>
      <c r="E21" s="1178">
        <f t="shared" si="0"/>
        <v>3</v>
      </c>
    </row>
    <row r="22" spans="1:7" ht="14.25">
      <c r="A22" s="1298" t="s">
        <v>2255</v>
      </c>
      <c r="B22" s="1298">
        <v>178.9451</v>
      </c>
      <c r="C22" s="1298">
        <v>182.19210000000001</v>
      </c>
      <c r="D22" s="1349">
        <v>0.98217815152248644</v>
      </c>
      <c r="E22" s="1178">
        <f t="shared" si="0"/>
        <v>3</v>
      </c>
    </row>
    <row r="23" spans="1:7" ht="14.25">
      <c r="A23" s="1298" t="s">
        <v>2370</v>
      </c>
      <c r="B23" s="1298">
        <v>2.2465000000000002</v>
      </c>
      <c r="C23" s="1298">
        <v>2.2465000000000002</v>
      </c>
      <c r="D23" s="1349">
        <v>1</v>
      </c>
      <c r="E23" s="1178">
        <f t="shared" si="0"/>
        <v>3</v>
      </c>
      <c r="G23" s="860" t="s">
        <v>2469</v>
      </c>
    </row>
    <row r="24" spans="1:7" ht="14.25">
      <c r="A24" s="1298" t="s">
        <v>2371</v>
      </c>
      <c r="B24" s="1298">
        <v>181.19159999999999</v>
      </c>
      <c r="C24" s="1298">
        <v>184.43860000000001</v>
      </c>
      <c r="D24" s="1349">
        <v>0.98239522529448819</v>
      </c>
      <c r="E24" s="1178">
        <f t="shared" si="0"/>
        <v>3</v>
      </c>
      <c r="G24" s="860" t="s">
        <v>2467</v>
      </c>
    </row>
    <row r="25" spans="1:7" ht="14.25">
      <c r="A25" s="1298" t="s">
        <v>2255</v>
      </c>
      <c r="B25" s="1298">
        <v>87.126599999999996</v>
      </c>
      <c r="C25" s="1298">
        <v>100.1219</v>
      </c>
      <c r="D25" s="1349">
        <v>0.87020521983701871</v>
      </c>
      <c r="E25" s="1178">
        <f t="shared" si="0"/>
        <v>1.5</v>
      </c>
      <c r="G25" s="860" t="s">
        <v>2468</v>
      </c>
    </row>
    <row r="26" spans="1:7" ht="14.25">
      <c r="A26" s="1298" t="s">
        <v>2370</v>
      </c>
      <c r="B26" s="1298">
        <v>0.53280000000000005</v>
      </c>
      <c r="C26" s="1298">
        <v>0.53220000000000001</v>
      </c>
      <c r="D26" s="1349">
        <v>1</v>
      </c>
      <c r="E26" s="1178">
        <f t="shared" si="0"/>
        <v>3</v>
      </c>
    </row>
    <row r="27" spans="1:7" ht="14.25">
      <c r="A27" s="1298" t="s">
        <v>2371</v>
      </c>
      <c r="B27" s="1298">
        <v>87.659400000000005</v>
      </c>
      <c r="C27" s="1298">
        <v>100.6541</v>
      </c>
      <c r="D27" s="1349">
        <v>0.87089745971599763</v>
      </c>
      <c r="E27" s="1178">
        <f t="shared" si="0"/>
        <v>1.5</v>
      </c>
    </row>
    <row r="28" spans="1:7" ht="14.25">
      <c r="A28" s="1298" t="s">
        <v>2255</v>
      </c>
      <c r="B28" s="1298">
        <v>28.726299999999998</v>
      </c>
      <c r="C28" s="1298">
        <v>30.122900000000001</v>
      </c>
      <c r="D28" s="1349">
        <v>0.95363660205358713</v>
      </c>
      <c r="E28" s="1178">
        <f t="shared" si="0"/>
        <v>3</v>
      </c>
    </row>
    <row r="29" spans="1:7" ht="14.25">
      <c r="A29" s="1298" t="s">
        <v>2370</v>
      </c>
      <c r="B29" s="1298">
        <v>0.43099999999999999</v>
      </c>
      <c r="C29" s="1298">
        <v>0.43099999999999999</v>
      </c>
      <c r="D29" s="1349">
        <v>1</v>
      </c>
      <c r="E29" s="1178">
        <f t="shared" si="0"/>
        <v>3</v>
      </c>
    </row>
    <row r="30" spans="1:7" ht="14.25">
      <c r="A30" s="1298" t="s">
        <v>2371</v>
      </c>
      <c r="B30" s="1298">
        <v>29.157299999999999</v>
      </c>
      <c r="C30" s="1298">
        <v>30.553899999999999</v>
      </c>
      <c r="D30" s="1349">
        <v>0.95429061429146522</v>
      </c>
      <c r="E30" s="1178">
        <f t="shared" si="0"/>
        <v>3</v>
      </c>
    </row>
    <row r="31" spans="1:7" ht="14.25">
      <c r="A31" s="1298" t="s">
        <v>2255</v>
      </c>
      <c r="B31" s="1298">
        <v>75.346400000000003</v>
      </c>
      <c r="C31" s="1298">
        <v>77.752600000000001</v>
      </c>
      <c r="D31" s="1349">
        <v>0.96905312491157847</v>
      </c>
      <c r="E31" s="1178">
        <f t="shared" si="0"/>
        <v>3</v>
      </c>
    </row>
    <row r="32" spans="1:7" ht="14.25">
      <c r="A32" s="1298" t="s">
        <v>2370</v>
      </c>
      <c r="B32" s="1298">
        <v>4.0473999999999997</v>
      </c>
      <c r="C32" s="1298">
        <v>4.0473999999999997</v>
      </c>
      <c r="D32" s="1349">
        <v>1</v>
      </c>
      <c r="E32" s="1178">
        <f t="shared" si="0"/>
        <v>3</v>
      </c>
    </row>
    <row r="33" spans="1:5" ht="14.25">
      <c r="A33" s="1298" t="s">
        <v>2371</v>
      </c>
      <c r="B33" s="1298">
        <v>79.393799999999999</v>
      </c>
      <c r="C33" s="1298">
        <v>81.8</v>
      </c>
      <c r="D33" s="1349">
        <v>0.97058435207823957</v>
      </c>
      <c r="E33" s="1178">
        <f t="shared" si="0"/>
        <v>3</v>
      </c>
    </row>
    <row r="34" spans="1:5" ht="14.25">
      <c r="A34" s="1298" t="s">
        <v>2255</v>
      </c>
      <c r="B34" s="1298">
        <v>20.437200000000001</v>
      </c>
      <c r="C34" s="1298">
        <v>22.893599999999999</v>
      </c>
      <c r="D34" s="1349">
        <v>0.89270363769787187</v>
      </c>
      <c r="E34" s="1178">
        <f t="shared" si="0"/>
        <v>1.5</v>
      </c>
    </row>
    <row r="35" spans="1:5" ht="14.25">
      <c r="A35" s="1298" t="s">
        <v>2371</v>
      </c>
      <c r="B35" s="1298">
        <v>20.437200000000001</v>
      </c>
      <c r="C35" s="1298">
        <v>22.893599999999999</v>
      </c>
      <c r="D35" s="1349">
        <v>0.89270363769787187</v>
      </c>
      <c r="E35" s="1178">
        <f t="shared" si="0"/>
        <v>1.5</v>
      </c>
    </row>
    <row r="36" spans="1:5" ht="14.25">
      <c r="A36" s="1298" t="s">
        <v>2255</v>
      </c>
      <c r="B36" s="1298">
        <v>87.534499999999994</v>
      </c>
      <c r="C36" s="1298">
        <v>97.153599999999997</v>
      </c>
      <c r="D36" s="1349">
        <v>0.90099080219363981</v>
      </c>
      <c r="E36" s="1178">
        <f t="shared" si="0"/>
        <v>3</v>
      </c>
    </row>
    <row r="37" spans="1:5" ht="14.25">
      <c r="A37" s="1298" t="s">
        <v>2370</v>
      </c>
      <c r="B37" s="1298">
        <v>2.4155000000000002</v>
      </c>
      <c r="C37" s="1298">
        <v>2.4055</v>
      </c>
      <c r="D37" s="1349">
        <v>1</v>
      </c>
      <c r="E37" s="1178">
        <f t="shared" si="0"/>
        <v>3</v>
      </c>
    </row>
    <row r="38" spans="1:5" ht="14.25">
      <c r="A38" s="1298" t="s">
        <v>2371</v>
      </c>
      <c r="B38" s="1298">
        <v>89.95</v>
      </c>
      <c r="C38" s="1298">
        <v>99.559100000000001</v>
      </c>
      <c r="D38" s="1349">
        <v>0.90348345856882994</v>
      </c>
      <c r="E38" s="1178">
        <f t="shared" si="0"/>
        <v>3</v>
      </c>
    </row>
    <row r="39" spans="1:5" ht="14.25">
      <c r="A39" s="1298" t="s">
        <v>2255</v>
      </c>
      <c r="B39" s="1298">
        <v>31.274899999999999</v>
      </c>
      <c r="C39" s="1298">
        <v>34.829900000000002</v>
      </c>
      <c r="D39" s="1349">
        <v>0.89793252349274622</v>
      </c>
      <c r="E39" s="1178">
        <f t="shared" si="0"/>
        <v>1.5</v>
      </c>
    </row>
    <row r="40" spans="1:5" ht="14.25">
      <c r="A40" s="1298" t="s">
        <v>2370</v>
      </c>
      <c r="B40" s="1298">
        <v>1.0065</v>
      </c>
      <c r="C40" s="1298">
        <v>1.0065</v>
      </c>
      <c r="D40" s="1349">
        <v>1</v>
      </c>
      <c r="E40" s="1178">
        <f t="shared" si="0"/>
        <v>3</v>
      </c>
    </row>
    <row r="41" spans="1:5" ht="14.25">
      <c r="A41" s="1298" t="s">
        <v>2371</v>
      </c>
      <c r="B41" s="1298">
        <v>32.281399999999998</v>
      </c>
      <c r="C41" s="1298">
        <v>35.836399999999998</v>
      </c>
      <c r="D41" s="1349">
        <v>0.90079918741837905</v>
      </c>
      <c r="E41" s="1178">
        <f t="shared" si="0"/>
        <v>3</v>
      </c>
    </row>
    <row r="42" spans="1:5" ht="14.25">
      <c r="A42" s="1298" t="s">
        <v>2255</v>
      </c>
      <c r="B42" s="1298">
        <v>48.771599999999999</v>
      </c>
      <c r="C42" s="1298">
        <v>56.931100000000001</v>
      </c>
      <c r="D42" s="1349">
        <v>0.85667763313900491</v>
      </c>
      <c r="E42" s="1178">
        <f t="shared" si="0"/>
        <v>1.5</v>
      </c>
    </row>
    <row r="43" spans="1:5" ht="14.25">
      <c r="A43" s="1298" t="s">
        <v>2371</v>
      </c>
      <c r="B43" s="1298">
        <v>48.771599999999999</v>
      </c>
      <c r="C43" s="1298">
        <v>56.931100000000001</v>
      </c>
      <c r="D43" s="1349">
        <v>0.85667763313900491</v>
      </c>
      <c r="E43" s="1178">
        <f t="shared" si="0"/>
        <v>1.5</v>
      </c>
    </row>
    <row r="44" spans="1:5" ht="14.25">
      <c r="A44" s="1298" t="s">
        <v>2255</v>
      </c>
      <c r="B44" s="1298">
        <v>771.90319999999997</v>
      </c>
      <c r="C44" s="1298">
        <v>819.51340000000005</v>
      </c>
      <c r="D44" s="1349">
        <v>0.94190430565259819</v>
      </c>
      <c r="E44" s="1178">
        <f t="shared" si="0"/>
        <v>3</v>
      </c>
    </row>
    <row r="45" spans="1:5" ht="14.25">
      <c r="A45" s="1298" t="s">
        <v>2258</v>
      </c>
      <c r="B45" s="1298">
        <v>131.4083</v>
      </c>
      <c r="C45" s="1298">
        <v>134.2911</v>
      </c>
      <c r="D45" s="1349">
        <v>0.97853320138117861</v>
      </c>
      <c r="E45" s="1178">
        <f t="shared" si="0"/>
        <v>3</v>
      </c>
    </row>
    <row r="46" spans="1:5" ht="14.25">
      <c r="A46" s="1298" t="s">
        <v>2257</v>
      </c>
      <c r="B46" s="1298">
        <v>213.2647</v>
      </c>
      <c r="C46" s="1298">
        <v>224.56010000000001</v>
      </c>
      <c r="D46" s="1349">
        <v>0.94969987989852156</v>
      </c>
      <c r="E46" s="1178">
        <f t="shared" si="0"/>
        <v>3</v>
      </c>
    </row>
    <row r="47" spans="1:5" ht="14.25">
      <c r="A47" s="1298" t="s">
        <v>2370</v>
      </c>
      <c r="B47" s="1298">
        <v>20.097899999999999</v>
      </c>
      <c r="C47" s="1298">
        <v>20.241499999999998</v>
      </c>
      <c r="D47" s="1349">
        <v>0.99290566410592096</v>
      </c>
      <c r="E47" s="1178">
        <f t="shared" si="0"/>
        <v>3</v>
      </c>
    </row>
    <row r="48" spans="1:5" ht="14.25">
      <c r="A48" s="1298" t="s">
        <v>2371</v>
      </c>
      <c r="B48" s="1298">
        <v>1136.6741</v>
      </c>
      <c r="C48" s="1298">
        <v>1198.6061</v>
      </c>
      <c r="D48" s="1349">
        <v>0.94832998096705834</v>
      </c>
      <c r="E48" s="1178">
        <f t="shared" si="0"/>
        <v>3</v>
      </c>
    </row>
    <row r="49" spans="1:5" ht="14.25">
      <c r="A49" s="1298" t="s">
        <v>2255</v>
      </c>
      <c r="B49" s="1298">
        <v>13.7719</v>
      </c>
      <c r="C49" s="1298">
        <v>14.4338</v>
      </c>
      <c r="D49" s="1349">
        <v>0.95414236029320065</v>
      </c>
      <c r="E49" s="1178">
        <f t="shared" si="0"/>
        <v>3</v>
      </c>
    </row>
    <row r="50" spans="1:5" ht="14.25">
      <c r="A50" s="1298" t="s">
        <v>2258</v>
      </c>
      <c r="B50" s="1298">
        <v>60.548299999999998</v>
      </c>
      <c r="C50" s="1298">
        <v>64.132999999999996</v>
      </c>
      <c r="D50" s="1349">
        <v>0.94410521884209375</v>
      </c>
      <c r="E50" s="1178">
        <f t="shared" si="0"/>
        <v>3</v>
      </c>
    </row>
    <row r="51" spans="1:5" ht="14.25">
      <c r="A51" s="1298" t="s">
        <v>2370</v>
      </c>
      <c r="B51" s="1298">
        <v>4.1981999999999999</v>
      </c>
      <c r="C51" s="1298">
        <v>4.6292</v>
      </c>
      <c r="D51" s="1349">
        <v>0.90689535988939773</v>
      </c>
      <c r="E51" s="1178">
        <f t="shared" si="0"/>
        <v>3</v>
      </c>
    </row>
    <row r="52" spans="1:5" ht="14.25">
      <c r="A52" s="1298" t="s">
        <v>2371</v>
      </c>
      <c r="B52" s="1298">
        <v>78.5184</v>
      </c>
      <c r="C52" s="1298">
        <v>83.195999999999998</v>
      </c>
      <c r="D52" s="1349">
        <v>0.94377614308380209</v>
      </c>
      <c r="E52" s="1178">
        <f t="shared" si="0"/>
        <v>3</v>
      </c>
    </row>
    <row r="53" spans="1:5" ht="14.25">
      <c r="A53" s="1298" t="s">
        <v>2255</v>
      </c>
      <c r="B53" s="1298">
        <v>54.279699999999998</v>
      </c>
      <c r="C53" s="1298">
        <v>54.828200000000002</v>
      </c>
      <c r="D53" s="1349">
        <v>0.98999602394388286</v>
      </c>
      <c r="E53" s="1178">
        <f t="shared" si="0"/>
        <v>3</v>
      </c>
    </row>
    <row r="54" spans="1:5" ht="14.25">
      <c r="A54" s="1298" t="s">
        <v>2371</v>
      </c>
      <c r="B54" s="1298">
        <v>54.279699999999998</v>
      </c>
      <c r="C54" s="1298">
        <v>54.828200000000002</v>
      </c>
      <c r="D54" s="1349">
        <v>0.98999602394388286</v>
      </c>
      <c r="E54" s="1178">
        <f t="shared" si="0"/>
        <v>3</v>
      </c>
    </row>
    <row r="55" spans="1:5" ht="14.25">
      <c r="A55" s="1298" t="s">
        <v>2255</v>
      </c>
      <c r="B55" s="1298">
        <v>103.3086</v>
      </c>
      <c r="C55" s="1298">
        <v>108.7809</v>
      </c>
      <c r="D55" s="1349">
        <v>0.94969429375929049</v>
      </c>
      <c r="E55" s="1178">
        <f t="shared" si="0"/>
        <v>3</v>
      </c>
    </row>
    <row r="56" spans="1:5" ht="14.25">
      <c r="A56" s="1298" t="s">
        <v>2370</v>
      </c>
      <c r="B56" s="1298">
        <v>0</v>
      </c>
      <c r="C56" s="1298">
        <v>0.37980000000000003</v>
      </c>
      <c r="D56" s="1349">
        <v>0</v>
      </c>
      <c r="E56" s="1178">
        <f t="shared" si="0"/>
        <v>0</v>
      </c>
    </row>
    <row r="57" spans="1:5" ht="14.25">
      <c r="A57" s="1298" t="s">
        <v>2371</v>
      </c>
      <c r="B57" s="1298">
        <v>103.3086</v>
      </c>
      <c r="C57" s="1298">
        <v>109.16070000000001</v>
      </c>
      <c r="D57" s="1349">
        <v>0.94639004696745255</v>
      </c>
      <c r="E57" s="1178">
        <f t="shared" si="0"/>
        <v>3</v>
      </c>
    </row>
    <row r="58" spans="1:5" ht="14.25">
      <c r="A58" s="1298" t="s">
        <v>2255</v>
      </c>
      <c r="B58" s="1298">
        <v>329.70089999999999</v>
      </c>
      <c r="C58" s="1298">
        <v>338.50439999999998</v>
      </c>
      <c r="D58" s="1349">
        <v>0.97399295252882978</v>
      </c>
      <c r="E58" s="1178">
        <f t="shared" si="0"/>
        <v>3</v>
      </c>
    </row>
    <row r="59" spans="1:5" ht="14.25">
      <c r="A59" s="1298" t="s">
        <v>2370</v>
      </c>
      <c r="B59" s="1298">
        <v>0.92120000000000002</v>
      </c>
      <c r="C59" s="1298">
        <v>0.92159999999999997</v>
      </c>
      <c r="D59" s="1349">
        <v>0.99956597222222221</v>
      </c>
      <c r="E59" s="1178">
        <f t="shared" si="0"/>
        <v>3</v>
      </c>
    </row>
    <row r="60" spans="1:5" ht="14.25">
      <c r="A60" s="1298" t="s">
        <v>2371</v>
      </c>
      <c r="B60" s="1298">
        <v>330.62209999999999</v>
      </c>
      <c r="C60" s="1298">
        <v>339.42599999999999</v>
      </c>
      <c r="D60" s="1349">
        <v>0.97406238767802111</v>
      </c>
      <c r="E60" s="1178">
        <f t="shared" si="0"/>
        <v>3</v>
      </c>
    </row>
    <row r="61" spans="1:5" ht="14.25">
      <c r="A61" s="1298" t="s">
        <v>2255</v>
      </c>
      <c r="B61" s="1298">
        <v>21.474499999999999</v>
      </c>
      <c r="C61" s="1298">
        <v>23.549700000000001</v>
      </c>
      <c r="D61" s="1349">
        <v>0.91187998148596372</v>
      </c>
      <c r="E61" s="1178">
        <f t="shared" si="0"/>
        <v>3</v>
      </c>
    </row>
    <row r="62" spans="1:5" ht="14.25">
      <c r="A62" s="1298" t="s">
        <v>2370</v>
      </c>
      <c r="B62" s="1298">
        <v>0.32319999999999999</v>
      </c>
      <c r="C62" s="1298">
        <v>0.32300000000000001</v>
      </c>
      <c r="D62" s="1349">
        <v>1</v>
      </c>
      <c r="E62" s="1178">
        <f t="shared" si="0"/>
        <v>3</v>
      </c>
    </row>
    <row r="63" spans="1:5" ht="14.25">
      <c r="A63" s="1298" t="s">
        <v>2371</v>
      </c>
      <c r="B63" s="1298">
        <v>21.797699999999999</v>
      </c>
      <c r="C63" s="1298">
        <v>23.872699999999998</v>
      </c>
      <c r="D63" s="1349">
        <v>0.91308063185144539</v>
      </c>
      <c r="E63" s="1178">
        <f t="shared" si="0"/>
        <v>3</v>
      </c>
    </row>
    <row r="64" spans="1:5" ht="14.25">
      <c r="A64" s="1298" t="s">
        <v>2255</v>
      </c>
      <c r="B64" s="1298">
        <v>41.0717</v>
      </c>
      <c r="C64" s="1298">
        <v>41.572200000000002</v>
      </c>
      <c r="D64" s="1349">
        <v>0.98796070450926343</v>
      </c>
      <c r="E64" s="1178">
        <f t="shared" si="0"/>
        <v>3</v>
      </c>
    </row>
    <row r="65" spans="1:5" ht="14.25">
      <c r="A65" s="1298" t="s">
        <v>2371</v>
      </c>
      <c r="B65" s="1298">
        <v>41.0717</v>
      </c>
      <c r="C65" s="1298">
        <v>41.572200000000002</v>
      </c>
      <c r="D65" s="1349">
        <v>0.98796070450926343</v>
      </c>
      <c r="E65" s="1178">
        <f t="shared" si="0"/>
        <v>3</v>
      </c>
    </row>
    <row r="66" spans="1:5" ht="14.25">
      <c r="A66" s="1298" t="s">
        <v>2255</v>
      </c>
      <c r="B66" s="1298">
        <v>262.1465</v>
      </c>
      <c r="C66" s="1298">
        <v>276.12619999999998</v>
      </c>
      <c r="D66" s="1349">
        <v>0.9493720624844727</v>
      </c>
      <c r="E66" s="1178">
        <f t="shared" si="0"/>
        <v>3</v>
      </c>
    </row>
    <row r="67" spans="1:5" ht="14.25">
      <c r="A67" s="1298" t="s">
        <v>2370</v>
      </c>
      <c r="B67" s="1298">
        <v>1.659</v>
      </c>
      <c r="C67" s="1298">
        <v>1.6596</v>
      </c>
      <c r="D67" s="1349">
        <v>0.99963846710050619</v>
      </c>
      <c r="E67" s="1178">
        <f t="shared" ref="E67:E130" si="1">IF(D67&gt;0.9,3,IF(D67&gt;0.8,1.5,0))</f>
        <v>3</v>
      </c>
    </row>
    <row r="68" spans="1:5" ht="14.25">
      <c r="A68" s="1298" t="s">
        <v>2371</v>
      </c>
      <c r="B68" s="1298">
        <v>263.80549999999999</v>
      </c>
      <c r="C68" s="1298">
        <v>277.78579999999999</v>
      </c>
      <c r="D68" s="1349">
        <v>0.9496723734618544</v>
      </c>
      <c r="E68" s="1178">
        <f t="shared" si="1"/>
        <v>3</v>
      </c>
    </row>
    <row r="69" spans="1:5" ht="14.25">
      <c r="A69" s="1298" t="s">
        <v>2255</v>
      </c>
      <c r="B69" s="1298">
        <v>52.0336</v>
      </c>
      <c r="C69" s="1298">
        <v>53.674100000000003</v>
      </c>
      <c r="D69" s="1349">
        <v>0.9694359104297976</v>
      </c>
      <c r="E69" s="1178">
        <f t="shared" si="1"/>
        <v>3</v>
      </c>
    </row>
    <row r="70" spans="1:5" ht="14.25">
      <c r="A70" s="1298" t="s">
        <v>2371</v>
      </c>
      <c r="B70" s="1298">
        <v>52.0336</v>
      </c>
      <c r="C70" s="1298">
        <v>53.674100000000003</v>
      </c>
      <c r="D70" s="1349">
        <v>0.9694359104297976</v>
      </c>
      <c r="E70" s="1178">
        <f t="shared" si="1"/>
        <v>3</v>
      </c>
    </row>
    <row r="71" spans="1:5" ht="14.25">
      <c r="A71" s="1298" t="s">
        <v>2255</v>
      </c>
      <c r="B71" s="1298">
        <v>8.9301999999999992</v>
      </c>
      <c r="C71" s="1298">
        <v>9.7895000000000003</v>
      </c>
      <c r="D71" s="1349">
        <v>0.91222227897236841</v>
      </c>
      <c r="E71" s="1178">
        <f t="shared" si="1"/>
        <v>3</v>
      </c>
    </row>
    <row r="72" spans="1:5" ht="14.25">
      <c r="A72" s="1298" t="s">
        <v>2371</v>
      </c>
      <c r="B72" s="1298">
        <v>8.9301999999999992</v>
      </c>
      <c r="C72" s="1298">
        <v>9.7895000000000003</v>
      </c>
      <c r="D72" s="1349">
        <v>0.91222227897236841</v>
      </c>
      <c r="E72" s="1178">
        <f t="shared" si="1"/>
        <v>3</v>
      </c>
    </row>
    <row r="73" spans="1:5" ht="14.25">
      <c r="A73" s="1298" t="s">
        <v>2255</v>
      </c>
      <c r="B73" s="1298">
        <v>886.71759999999995</v>
      </c>
      <c r="C73" s="1298">
        <v>921.25900000000001</v>
      </c>
      <c r="D73" s="1349">
        <v>0.96250630930064185</v>
      </c>
      <c r="E73" s="1178">
        <f t="shared" si="1"/>
        <v>3</v>
      </c>
    </row>
    <row r="74" spans="1:5" ht="14.25">
      <c r="A74" s="1298" t="s">
        <v>2258</v>
      </c>
      <c r="B74" s="1298">
        <v>60.548299999999998</v>
      </c>
      <c r="C74" s="1298">
        <v>64.132999999999996</v>
      </c>
      <c r="D74" s="1349">
        <v>0.94410521884209375</v>
      </c>
      <c r="E74" s="1178">
        <f t="shared" si="1"/>
        <v>3</v>
      </c>
    </row>
    <row r="75" spans="1:5" ht="14.25">
      <c r="A75" s="1298" t="s">
        <v>2370</v>
      </c>
      <c r="B75" s="1298">
        <v>7.1016000000000004</v>
      </c>
      <c r="C75" s="1298">
        <v>7.9131999999999998</v>
      </c>
      <c r="D75" s="1349">
        <v>0.89743719355001772</v>
      </c>
      <c r="E75" s="1178">
        <f t="shared" si="1"/>
        <v>1.5</v>
      </c>
    </row>
    <row r="76" spans="1:5" ht="14.25">
      <c r="A76" s="1298" t="s">
        <v>2371</v>
      </c>
      <c r="B76" s="1298">
        <v>954.36749999999995</v>
      </c>
      <c r="C76" s="1298">
        <v>993.30520000000001</v>
      </c>
      <c r="D76" s="1349">
        <v>0.96079986292229214</v>
      </c>
      <c r="E76" s="1178">
        <f t="shared" si="1"/>
        <v>3</v>
      </c>
    </row>
    <row r="77" spans="1:5" ht="14.25">
      <c r="A77" s="1298" t="s">
        <v>2255</v>
      </c>
      <c r="B77" s="1298">
        <v>197.00909999999999</v>
      </c>
      <c r="C77" s="1298">
        <v>211.87799999999999</v>
      </c>
      <c r="D77" s="1349">
        <v>0.92982329453742252</v>
      </c>
      <c r="E77" s="1178">
        <f t="shared" si="1"/>
        <v>3</v>
      </c>
    </row>
    <row r="78" spans="1:5" ht="14.25">
      <c r="A78" s="1298" t="s">
        <v>2258</v>
      </c>
      <c r="B78" s="1298">
        <v>220.649</v>
      </c>
      <c r="C78" s="1298">
        <v>229.46520000000001</v>
      </c>
      <c r="D78" s="1349">
        <v>0.96157935931025706</v>
      </c>
      <c r="E78" s="1178">
        <f t="shared" si="1"/>
        <v>3</v>
      </c>
    </row>
    <row r="79" spans="1:5" ht="14.25">
      <c r="A79" s="1298" t="s">
        <v>2370</v>
      </c>
      <c r="B79" s="1298">
        <v>7.0671999999999997</v>
      </c>
      <c r="C79" s="1298">
        <v>7.0671999999999997</v>
      </c>
      <c r="D79" s="1349">
        <v>1</v>
      </c>
      <c r="E79" s="1178">
        <f t="shared" si="1"/>
        <v>3</v>
      </c>
    </row>
    <row r="80" spans="1:5" ht="14.25">
      <c r="A80" s="1298" t="s">
        <v>2371</v>
      </c>
      <c r="B80" s="1298">
        <v>424.7253</v>
      </c>
      <c r="C80" s="1298">
        <v>448.41039999999998</v>
      </c>
      <c r="D80" s="1349">
        <v>0.94717986023517742</v>
      </c>
      <c r="E80" s="1178">
        <f t="shared" si="1"/>
        <v>3</v>
      </c>
    </row>
    <row r="81" spans="1:5" ht="14.25">
      <c r="A81" s="1298" t="s">
        <v>2255</v>
      </c>
      <c r="B81" s="1298">
        <v>24.020299999999999</v>
      </c>
      <c r="C81" s="1298">
        <v>27.741099999999999</v>
      </c>
      <c r="D81" s="1349">
        <v>0.86587410016185373</v>
      </c>
      <c r="E81" s="1178">
        <f t="shared" si="1"/>
        <v>1.5</v>
      </c>
    </row>
    <row r="82" spans="1:5" ht="14.25">
      <c r="A82" s="1298" t="s">
        <v>2371</v>
      </c>
      <c r="B82" s="1298">
        <v>24.020299999999999</v>
      </c>
      <c r="C82" s="1298">
        <v>27.741099999999999</v>
      </c>
      <c r="D82" s="1349">
        <v>0.86587410016185373</v>
      </c>
      <c r="E82" s="1178">
        <f t="shared" si="1"/>
        <v>1.5</v>
      </c>
    </row>
    <row r="83" spans="1:5" ht="14.25">
      <c r="A83" s="1298" t="s">
        <v>2255</v>
      </c>
      <c r="B83" s="1298">
        <v>158.2962</v>
      </c>
      <c r="C83" s="1298">
        <v>165.00059999999999</v>
      </c>
      <c r="D83" s="1349">
        <v>0.95936742048210732</v>
      </c>
      <c r="E83" s="1178">
        <f t="shared" si="1"/>
        <v>3</v>
      </c>
    </row>
    <row r="84" spans="1:5" ht="14.25">
      <c r="A84" s="1298" t="s">
        <v>2370</v>
      </c>
      <c r="B84" s="1298">
        <v>0.80910000000000004</v>
      </c>
      <c r="C84" s="1298">
        <v>0.80810000000000004</v>
      </c>
      <c r="D84" s="1349">
        <v>1</v>
      </c>
      <c r="E84" s="1178">
        <f t="shared" si="1"/>
        <v>3</v>
      </c>
    </row>
    <row r="85" spans="1:5" ht="14.25">
      <c r="A85" s="1298" t="s">
        <v>2371</v>
      </c>
      <c r="B85" s="1298">
        <v>159.1053</v>
      </c>
      <c r="C85" s="1298">
        <v>165.80869999999999</v>
      </c>
      <c r="D85" s="1349">
        <v>0.95957148207542786</v>
      </c>
      <c r="E85" s="1178">
        <f t="shared" si="1"/>
        <v>3</v>
      </c>
    </row>
    <row r="86" spans="1:5" ht="14.25">
      <c r="A86" s="1298" t="s">
        <v>2255</v>
      </c>
      <c r="B86" s="1298">
        <v>77.951999999999998</v>
      </c>
      <c r="C86" s="1298">
        <v>83.268100000000004</v>
      </c>
      <c r="D86" s="1349">
        <v>0.93615682356148389</v>
      </c>
      <c r="E86" s="1178">
        <f t="shared" si="1"/>
        <v>3</v>
      </c>
    </row>
    <row r="87" spans="1:5" ht="14.25">
      <c r="A87" s="1298" t="s">
        <v>2370</v>
      </c>
      <c r="B87" s="1298">
        <v>0.9819</v>
      </c>
      <c r="C87" s="1298">
        <v>0.98340000000000005</v>
      </c>
      <c r="D87" s="1349">
        <v>0.9984746796827334</v>
      </c>
      <c r="E87" s="1178">
        <f t="shared" si="1"/>
        <v>3</v>
      </c>
    </row>
    <row r="88" spans="1:5" ht="14.25">
      <c r="A88" s="1298" t="s">
        <v>2371</v>
      </c>
      <c r="B88" s="1298">
        <v>78.933899999999994</v>
      </c>
      <c r="C88" s="1298">
        <v>84.251499999999993</v>
      </c>
      <c r="D88" s="1349">
        <v>0.93688420977668052</v>
      </c>
      <c r="E88" s="1178">
        <f t="shared" si="1"/>
        <v>3</v>
      </c>
    </row>
    <row r="89" spans="1:5" ht="14.25">
      <c r="A89" s="1298" t="s">
        <v>2255</v>
      </c>
      <c r="B89" s="1298">
        <v>140.5762</v>
      </c>
      <c r="C89" s="1298">
        <v>147.9675</v>
      </c>
      <c r="D89" s="1349">
        <v>0.95004781455387166</v>
      </c>
      <c r="E89" s="1178">
        <f t="shared" si="1"/>
        <v>3</v>
      </c>
    </row>
    <row r="90" spans="1:5" ht="14.25">
      <c r="A90" s="1298" t="s">
        <v>2370</v>
      </c>
      <c r="B90" s="1298">
        <v>1.5698000000000001</v>
      </c>
      <c r="C90" s="1298">
        <v>1.5632999999999999</v>
      </c>
      <c r="D90" s="1349">
        <v>1</v>
      </c>
      <c r="E90" s="1178">
        <f t="shared" si="1"/>
        <v>3</v>
      </c>
    </row>
    <row r="91" spans="1:5" ht="14.25">
      <c r="A91" s="1298" t="s">
        <v>2371</v>
      </c>
      <c r="B91" s="1298">
        <v>142.14599999999999</v>
      </c>
      <c r="C91" s="1298">
        <v>149.5308</v>
      </c>
      <c r="D91" s="1349">
        <v>0.9506135190877063</v>
      </c>
      <c r="E91" s="1178">
        <f t="shared" si="1"/>
        <v>3</v>
      </c>
    </row>
    <row r="92" spans="1:5" ht="14.25">
      <c r="A92" s="1298" t="s">
        <v>2255</v>
      </c>
      <c r="B92" s="1298">
        <v>70.619200000000006</v>
      </c>
      <c r="C92" s="1298">
        <v>81.335999999999999</v>
      </c>
      <c r="D92" s="1349">
        <v>0.86824038556112915</v>
      </c>
      <c r="E92" s="1178">
        <f t="shared" si="1"/>
        <v>1.5</v>
      </c>
    </row>
    <row r="93" spans="1:5" ht="14.25">
      <c r="A93" s="1298" t="s">
        <v>2370</v>
      </c>
      <c r="B93" s="1298">
        <v>1.0326</v>
      </c>
      <c r="C93" s="1298">
        <v>1.0326</v>
      </c>
      <c r="D93" s="1349">
        <v>1</v>
      </c>
      <c r="E93" s="1178">
        <f t="shared" si="1"/>
        <v>3</v>
      </c>
    </row>
    <row r="94" spans="1:5" ht="14.25">
      <c r="A94" s="1298" t="s">
        <v>2371</v>
      </c>
      <c r="B94" s="1298">
        <v>71.651799999999994</v>
      </c>
      <c r="C94" s="1298">
        <v>82.368600000000001</v>
      </c>
      <c r="D94" s="1349">
        <v>0.86989216764640898</v>
      </c>
      <c r="E94" s="1178">
        <f t="shared" si="1"/>
        <v>1.5</v>
      </c>
    </row>
    <row r="95" spans="1:5" ht="14.25">
      <c r="A95" s="1298" t="s">
        <v>2255</v>
      </c>
      <c r="B95" s="1298">
        <v>195.6268</v>
      </c>
      <c r="C95" s="1298">
        <v>209.78960000000001</v>
      </c>
      <c r="D95" s="1349">
        <v>0.93249045710559531</v>
      </c>
      <c r="E95" s="1178">
        <f t="shared" si="1"/>
        <v>3</v>
      </c>
    </row>
    <row r="96" spans="1:5" ht="14.25">
      <c r="A96" s="1298" t="s">
        <v>2370</v>
      </c>
      <c r="B96" s="1298">
        <v>4.7548000000000004</v>
      </c>
      <c r="C96" s="1298">
        <v>4.7546999999999997</v>
      </c>
      <c r="D96" s="1349">
        <v>1</v>
      </c>
      <c r="E96" s="1178">
        <f t="shared" si="1"/>
        <v>3</v>
      </c>
    </row>
    <row r="97" spans="1:5" ht="14.25">
      <c r="A97" s="1298" t="s">
        <v>2371</v>
      </c>
      <c r="B97" s="1298">
        <v>200.38159999999999</v>
      </c>
      <c r="C97" s="1298">
        <v>214.54429999999999</v>
      </c>
      <c r="D97" s="1349">
        <v>0.93398706001511111</v>
      </c>
      <c r="E97" s="1178">
        <f t="shared" si="1"/>
        <v>3</v>
      </c>
    </row>
    <row r="98" spans="1:5" ht="14.25">
      <c r="A98" s="1298" t="s">
        <v>2255</v>
      </c>
      <c r="B98" s="1298">
        <v>55.404200000000003</v>
      </c>
      <c r="C98" s="1298">
        <v>57.3673</v>
      </c>
      <c r="D98" s="1349">
        <v>0.96578015698838882</v>
      </c>
      <c r="E98" s="1178">
        <f t="shared" si="1"/>
        <v>3</v>
      </c>
    </row>
    <row r="99" spans="1:5" ht="14.25">
      <c r="A99" s="1298" t="s">
        <v>2371</v>
      </c>
      <c r="B99" s="1298">
        <v>55.404200000000003</v>
      </c>
      <c r="C99" s="1298">
        <v>57.3673</v>
      </c>
      <c r="D99" s="1349">
        <v>0.96578015698838882</v>
      </c>
      <c r="E99" s="1178">
        <f t="shared" si="1"/>
        <v>3</v>
      </c>
    </row>
    <row r="100" spans="1:5" ht="14.25">
      <c r="A100" s="1298" t="s">
        <v>2255</v>
      </c>
      <c r="B100" s="1298">
        <v>42.330100000000002</v>
      </c>
      <c r="C100" s="1298">
        <v>46.513199999999998</v>
      </c>
      <c r="D100" s="1349">
        <v>0.91006638975602627</v>
      </c>
      <c r="E100" s="1178">
        <f t="shared" si="1"/>
        <v>3</v>
      </c>
    </row>
    <row r="101" spans="1:5" ht="14.25">
      <c r="A101" s="1298" t="s">
        <v>2371</v>
      </c>
      <c r="B101" s="1298">
        <v>42.330100000000002</v>
      </c>
      <c r="C101" s="1298">
        <v>46.513199999999998</v>
      </c>
      <c r="D101" s="1349">
        <v>0.91006638975602627</v>
      </c>
      <c r="E101" s="1178">
        <f t="shared" si="1"/>
        <v>3</v>
      </c>
    </row>
    <row r="102" spans="1:5" ht="14.25">
      <c r="A102" s="1298" t="s">
        <v>2255</v>
      </c>
      <c r="B102" s="1298">
        <v>961.83410000000003</v>
      </c>
      <c r="C102" s="1298">
        <v>1030.8614</v>
      </c>
      <c r="D102" s="1349">
        <v>0.93303920391237849</v>
      </c>
      <c r="E102" s="1178">
        <f t="shared" si="1"/>
        <v>3</v>
      </c>
    </row>
    <row r="103" spans="1:5" ht="14.25">
      <c r="A103" s="1298" t="s">
        <v>2258</v>
      </c>
      <c r="B103" s="1298">
        <v>220.649</v>
      </c>
      <c r="C103" s="1298">
        <v>229.46520000000001</v>
      </c>
      <c r="D103" s="1349">
        <v>0.96157935931025706</v>
      </c>
      <c r="E103" s="1178">
        <f t="shared" si="1"/>
        <v>3</v>
      </c>
    </row>
    <row r="104" spans="1:5" ht="14.25">
      <c r="A104" s="1298" t="s">
        <v>2370</v>
      </c>
      <c r="B104" s="1298">
        <v>16.215399999999999</v>
      </c>
      <c r="C104" s="1298">
        <v>16.209299999999999</v>
      </c>
      <c r="D104" s="1349">
        <v>1</v>
      </c>
      <c r="E104" s="1178">
        <f t="shared" si="1"/>
        <v>3</v>
      </c>
    </row>
    <row r="105" spans="1:5" ht="14.25">
      <c r="A105" s="1298" t="s">
        <v>2371</v>
      </c>
      <c r="B105" s="1298">
        <v>1198.6985</v>
      </c>
      <c r="C105" s="1298">
        <v>1276.5359000000001</v>
      </c>
      <c r="D105" s="1349">
        <v>0.9390245115707283</v>
      </c>
      <c r="E105" s="1178">
        <f t="shared" si="1"/>
        <v>3</v>
      </c>
    </row>
    <row r="106" spans="1:5" ht="14.25">
      <c r="A106" s="1298" t="s">
        <v>2255</v>
      </c>
      <c r="B106" s="1298">
        <v>18.217400000000001</v>
      </c>
      <c r="C106" s="1298">
        <v>18.612500000000001</v>
      </c>
      <c r="D106" s="1349">
        <v>0.97877233042310274</v>
      </c>
      <c r="E106" s="1178">
        <f t="shared" si="1"/>
        <v>3</v>
      </c>
    </row>
    <row r="107" spans="1:5" ht="14.25">
      <c r="A107" s="1298" t="s">
        <v>2257</v>
      </c>
      <c r="B107" s="1298">
        <v>24.818899999999999</v>
      </c>
      <c r="C107" s="1298">
        <v>24.818899999999999</v>
      </c>
      <c r="D107" s="1349">
        <v>1</v>
      </c>
      <c r="E107" s="1178">
        <f t="shared" si="1"/>
        <v>3</v>
      </c>
    </row>
    <row r="108" spans="1:5" ht="14.25">
      <c r="A108" s="1298" t="s">
        <v>2370</v>
      </c>
      <c r="B108" s="1298">
        <v>7</v>
      </c>
      <c r="C108" s="1298">
        <v>7</v>
      </c>
      <c r="D108" s="1349">
        <v>1</v>
      </c>
      <c r="E108" s="1178">
        <f t="shared" si="1"/>
        <v>3</v>
      </c>
    </row>
    <row r="109" spans="1:5" ht="14.25">
      <c r="A109" s="1298" t="s">
        <v>2371</v>
      </c>
      <c r="B109" s="1298">
        <v>50.036299999999997</v>
      </c>
      <c r="C109" s="1298">
        <v>50.431399999999996</v>
      </c>
      <c r="D109" s="1349">
        <v>0.99216559524423276</v>
      </c>
      <c r="E109" s="1178">
        <f t="shared" si="1"/>
        <v>3</v>
      </c>
    </row>
    <row r="110" spans="1:5" ht="14.25">
      <c r="A110" s="1298" t="s">
        <v>2255</v>
      </c>
      <c r="B110" s="1298">
        <v>48.2089</v>
      </c>
      <c r="C110" s="1298">
        <v>52.625100000000003</v>
      </c>
      <c r="D110" s="1349">
        <v>0.91608186967815741</v>
      </c>
      <c r="E110" s="1178">
        <f t="shared" si="1"/>
        <v>3</v>
      </c>
    </row>
    <row r="111" spans="1:5" ht="14.25">
      <c r="A111" s="1298" t="s">
        <v>2371</v>
      </c>
      <c r="B111" s="1298">
        <v>48.2089</v>
      </c>
      <c r="C111" s="1298">
        <v>52.625100000000003</v>
      </c>
      <c r="D111" s="1349">
        <v>0.91608186967815741</v>
      </c>
      <c r="E111" s="1178">
        <f t="shared" si="1"/>
        <v>3</v>
      </c>
    </row>
    <row r="112" spans="1:5" ht="14.25">
      <c r="A112" s="1298" t="s">
        <v>2255</v>
      </c>
      <c r="B112" s="1298">
        <v>79.554100000000005</v>
      </c>
      <c r="C112" s="1298">
        <v>86.038300000000007</v>
      </c>
      <c r="D112" s="1349">
        <v>0.92463588890064075</v>
      </c>
      <c r="E112" s="1178">
        <f t="shared" si="1"/>
        <v>3</v>
      </c>
    </row>
    <row r="113" spans="1:5" ht="14.25">
      <c r="A113" s="1298" t="s">
        <v>2371</v>
      </c>
      <c r="B113" s="1298">
        <v>79.554100000000005</v>
      </c>
      <c r="C113" s="1298">
        <v>86.038300000000007</v>
      </c>
      <c r="D113" s="1349">
        <v>0.92463588890064075</v>
      </c>
      <c r="E113" s="1178">
        <f t="shared" si="1"/>
        <v>3</v>
      </c>
    </row>
    <row r="114" spans="1:5" ht="14.25">
      <c r="A114" s="1298" t="s">
        <v>2255</v>
      </c>
      <c r="B114" s="1298">
        <v>22.575299999999999</v>
      </c>
      <c r="C114" s="1298">
        <v>26.491399999999999</v>
      </c>
      <c r="D114" s="1349">
        <v>0.85217466800546593</v>
      </c>
      <c r="E114" s="1178">
        <f t="shared" si="1"/>
        <v>1.5</v>
      </c>
    </row>
    <row r="115" spans="1:5" ht="14.25">
      <c r="A115" s="1298" t="s">
        <v>2371</v>
      </c>
      <c r="B115" s="1298">
        <v>22.575299999999999</v>
      </c>
      <c r="C115" s="1298">
        <v>26.491399999999999</v>
      </c>
      <c r="D115" s="1349">
        <v>0.85217466800546593</v>
      </c>
      <c r="E115" s="1178">
        <f t="shared" si="1"/>
        <v>1.5</v>
      </c>
    </row>
    <row r="116" spans="1:5" ht="14.25">
      <c r="A116" s="1298" t="s">
        <v>2255</v>
      </c>
      <c r="B116" s="1298">
        <v>168.5557</v>
      </c>
      <c r="C116" s="1298">
        <v>183.76730000000001</v>
      </c>
      <c r="D116" s="1349">
        <v>0.91722357568511914</v>
      </c>
      <c r="E116" s="1178">
        <f t="shared" si="1"/>
        <v>3</v>
      </c>
    </row>
    <row r="117" spans="1:5" ht="14.25">
      <c r="A117" s="1298" t="s">
        <v>2257</v>
      </c>
      <c r="B117" s="1298">
        <v>24.818899999999999</v>
      </c>
      <c r="C117" s="1298">
        <v>24.818899999999999</v>
      </c>
      <c r="D117" s="1349">
        <v>1</v>
      </c>
      <c r="E117" s="1178">
        <f t="shared" si="1"/>
        <v>3</v>
      </c>
    </row>
    <row r="118" spans="1:5" ht="14.25">
      <c r="A118" s="1298" t="s">
        <v>2370</v>
      </c>
      <c r="B118" s="1298">
        <v>7</v>
      </c>
      <c r="C118" s="1298">
        <v>7</v>
      </c>
      <c r="D118" s="1349">
        <v>1</v>
      </c>
      <c r="E118" s="1178">
        <f t="shared" si="1"/>
        <v>3</v>
      </c>
    </row>
    <row r="119" spans="1:5" ht="14.25">
      <c r="A119" s="1298" t="s">
        <v>2371</v>
      </c>
      <c r="B119" s="1298">
        <v>200.37459999999999</v>
      </c>
      <c r="C119" s="1298">
        <v>215.58619999999999</v>
      </c>
      <c r="D119" s="1349">
        <v>0.92944075270123971</v>
      </c>
      <c r="E119" s="1178">
        <f t="shared" si="1"/>
        <v>3</v>
      </c>
    </row>
    <row r="120" spans="1:5" ht="14.25">
      <c r="A120" s="1298" t="s">
        <v>2255</v>
      </c>
      <c r="B120" s="1298">
        <v>308.21530000000001</v>
      </c>
      <c r="C120" s="1298">
        <v>323.03719999999998</v>
      </c>
      <c r="D120" s="1349">
        <v>0.954117049058127</v>
      </c>
      <c r="E120" s="1178">
        <f t="shared" si="1"/>
        <v>3</v>
      </c>
    </row>
    <row r="121" spans="1:5" ht="14.25">
      <c r="A121" s="1298" t="s">
        <v>2258</v>
      </c>
      <c r="B121" s="1298">
        <v>23.718299999999999</v>
      </c>
      <c r="C121" s="1298">
        <v>27.225300000000001</v>
      </c>
      <c r="D121" s="1349">
        <v>0.8711859924408546</v>
      </c>
      <c r="E121" s="1178">
        <f t="shared" si="1"/>
        <v>1.5</v>
      </c>
    </row>
    <row r="122" spans="1:5" ht="14.25">
      <c r="A122" s="1298" t="s">
        <v>2257</v>
      </c>
      <c r="B122" s="1298">
        <v>110.6534</v>
      </c>
      <c r="C122" s="1298">
        <v>136.59739999999999</v>
      </c>
      <c r="D122" s="1349">
        <v>0.81006959136850332</v>
      </c>
      <c r="E122" s="1178">
        <f t="shared" si="1"/>
        <v>1.5</v>
      </c>
    </row>
    <row r="123" spans="1:5" ht="14.25">
      <c r="A123" s="1298" t="s">
        <v>2370</v>
      </c>
      <c r="B123" s="1298">
        <v>12.5107</v>
      </c>
      <c r="C123" s="1298">
        <v>12.5451</v>
      </c>
      <c r="D123" s="1349">
        <v>0.99725789352017924</v>
      </c>
      <c r="E123" s="1178">
        <f t="shared" si="1"/>
        <v>3</v>
      </c>
    </row>
    <row r="124" spans="1:5" ht="14.25">
      <c r="A124" s="1298" t="s">
        <v>2371</v>
      </c>
      <c r="B124" s="1298">
        <v>455.09769999999997</v>
      </c>
      <c r="C124" s="1298">
        <v>499.40499999999997</v>
      </c>
      <c r="D124" s="1349">
        <v>0.91127982298935728</v>
      </c>
      <c r="E124" s="1178">
        <f t="shared" si="1"/>
        <v>3</v>
      </c>
    </row>
    <row r="125" spans="1:5" ht="14.25">
      <c r="A125" s="1298" t="s">
        <v>2255</v>
      </c>
      <c r="B125" s="1298">
        <v>70.817499999999995</v>
      </c>
      <c r="C125" s="1298">
        <v>76.601200000000006</v>
      </c>
      <c r="D125" s="1349">
        <v>0.92449596089878483</v>
      </c>
      <c r="E125" s="1178">
        <f t="shared" si="1"/>
        <v>3</v>
      </c>
    </row>
    <row r="126" spans="1:5" ht="14.25">
      <c r="A126" s="1298" t="s">
        <v>2257</v>
      </c>
      <c r="B126" s="1298">
        <v>69.831400000000002</v>
      </c>
      <c r="C126" s="1298">
        <v>70.586600000000004</v>
      </c>
      <c r="D126" s="1349">
        <v>0.98930108547514684</v>
      </c>
      <c r="E126" s="1178">
        <f t="shared" si="1"/>
        <v>3</v>
      </c>
    </row>
    <row r="127" spans="1:5" ht="14.25">
      <c r="A127" s="1298" t="s">
        <v>2370</v>
      </c>
      <c r="B127" s="1298">
        <v>1.7212000000000001</v>
      </c>
      <c r="C127" s="1298">
        <v>1.7212000000000001</v>
      </c>
      <c r="D127" s="1349">
        <v>1</v>
      </c>
      <c r="E127" s="1178">
        <f t="shared" si="1"/>
        <v>3</v>
      </c>
    </row>
    <row r="128" spans="1:5" ht="14.25">
      <c r="A128" s="1298" t="s">
        <v>2371</v>
      </c>
      <c r="B128" s="1298">
        <v>142.37010000000001</v>
      </c>
      <c r="C128" s="1298">
        <v>148.90899999999999</v>
      </c>
      <c r="D128" s="1349">
        <v>0.95608794632963756</v>
      </c>
      <c r="E128" s="1178">
        <f t="shared" si="1"/>
        <v>3</v>
      </c>
    </row>
    <row r="129" spans="1:5" ht="14.25">
      <c r="A129" s="1298" t="s">
        <v>2255</v>
      </c>
      <c r="B129" s="1298">
        <v>37.323500000000003</v>
      </c>
      <c r="C129" s="1298">
        <v>42.063099999999999</v>
      </c>
      <c r="D129" s="1349">
        <v>0.88732166673402579</v>
      </c>
      <c r="E129" s="1178">
        <f t="shared" si="1"/>
        <v>1.5</v>
      </c>
    </row>
    <row r="130" spans="1:5" ht="14.25">
      <c r="A130" s="1298" t="s">
        <v>2371</v>
      </c>
      <c r="B130" s="1298">
        <v>37.323500000000003</v>
      </c>
      <c r="C130" s="1298">
        <v>42.063099999999999</v>
      </c>
      <c r="D130" s="1349">
        <v>0.88732166673402579</v>
      </c>
      <c r="E130" s="1178">
        <f t="shared" si="1"/>
        <v>1.5</v>
      </c>
    </row>
    <row r="131" spans="1:5" ht="14.25">
      <c r="A131" s="1298" t="s">
        <v>2255</v>
      </c>
      <c r="B131" s="1298">
        <v>138.96180000000001</v>
      </c>
      <c r="C131" s="1298">
        <v>184.14250000000001</v>
      </c>
      <c r="D131" s="1349">
        <v>0.75464273592462361</v>
      </c>
      <c r="E131" s="1178">
        <f t="shared" ref="E131:E194" si="2">IF(D131&gt;0.9,3,IF(D131&gt;0.8,1.5,0))</f>
        <v>0</v>
      </c>
    </row>
    <row r="132" spans="1:5" ht="14.25">
      <c r="A132" s="1298" t="s">
        <v>2370</v>
      </c>
      <c r="B132" s="1298">
        <v>0.60340000000000005</v>
      </c>
      <c r="C132" s="1298">
        <v>0.60340000000000005</v>
      </c>
      <c r="D132" s="1349">
        <v>1</v>
      </c>
      <c r="E132" s="1178">
        <f t="shared" si="2"/>
        <v>3</v>
      </c>
    </row>
    <row r="133" spans="1:5" ht="14.25">
      <c r="A133" s="1298" t="s">
        <v>2371</v>
      </c>
      <c r="B133" s="1298">
        <v>139.5652</v>
      </c>
      <c r="C133" s="1298">
        <v>184.74590000000001</v>
      </c>
      <c r="D133" s="1349">
        <v>0.75544409916539423</v>
      </c>
      <c r="E133" s="1178">
        <f t="shared" si="2"/>
        <v>0</v>
      </c>
    </row>
    <row r="134" spans="1:5" ht="14.25">
      <c r="A134" s="1298" t="s">
        <v>2255</v>
      </c>
      <c r="B134" s="1298">
        <v>11.754</v>
      </c>
      <c r="C134" s="1298">
        <v>15.792299999999999</v>
      </c>
      <c r="D134" s="1349">
        <v>0.7442867726676925</v>
      </c>
      <c r="E134" s="1178">
        <f t="shared" si="2"/>
        <v>0</v>
      </c>
    </row>
    <row r="135" spans="1:5" ht="14.25">
      <c r="A135" s="1298" t="s">
        <v>2371</v>
      </c>
      <c r="B135" s="1298">
        <v>11.754</v>
      </c>
      <c r="C135" s="1298">
        <v>15.792299999999999</v>
      </c>
      <c r="D135" s="1349">
        <v>0.7442867726676925</v>
      </c>
      <c r="E135" s="1178">
        <f t="shared" si="2"/>
        <v>0</v>
      </c>
    </row>
    <row r="136" spans="1:5" ht="14.25">
      <c r="A136" s="1298" t="s">
        <v>2255</v>
      </c>
      <c r="B136" s="1298">
        <v>41.386899999999997</v>
      </c>
      <c r="C136" s="1298">
        <v>45.114600000000003</v>
      </c>
      <c r="D136" s="1349">
        <v>0.91737264654901074</v>
      </c>
      <c r="E136" s="1178">
        <f t="shared" si="2"/>
        <v>3</v>
      </c>
    </row>
    <row r="137" spans="1:5" ht="14.25">
      <c r="A137" s="1298" t="s">
        <v>2371</v>
      </c>
      <c r="B137" s="1298">
        <v>41.386899999999997</v>
      </c>
      <c r="C137" s="1298">
        <v>45.114600000000003</v>
      </c>
      <c r="D137" s="1349">
        <v>0.91737264654901074</v>
      </c>
      <c r="E137" s="1178">
        <f t="shared" si="2"/>
        <v>3</v>
      </c>
    </row>
    <row r="138" spans="1:5" ht="14.25">
      <c r="A138" s="1298" t="s">
        <v>2255</v>
      </c>
      <c r="B138" s="1298">
        <v>63.352899999999998</v>
      </c>
      <c r="C138" s="1298">
        <v>70.340999999999994</v>
      </c>
      <c r="D138" s="1349">
        <v>0.90065395715159013</v>
      </c>
      <c r="E138" s="1178">
        <f t="shared" si="2"/>
        <v>3</v>
      </c>
    </row>
    <row r="139" spans="1:5" ht="14.25">
      <c r="A139" s="1298" t="s">
        <v>2371</v>
      </c>
      <c r="B139" s="1298">
        <v>63.352899999999998</v>
      </c>
      <c r="C139" s="1298">
        <v>70.340999999999994</v>
      </c>
      <c r="D139" s="1349">
        <v>0.90065395715159013</v>
      </c>
      <c r="E139" s="1178">
        <f t="shared" si="2"/>
        <v>3</v>
      </c>
    </row>
    <row r="140" spans="1:5" ht="14.25">
      <c r="A140" s="1298" t="s">
        <v>2255</v>
      </c>
      <c r="B140" s="1298">
        <v>671.81190000000004</v>
      </c>
      <c r="C140" s="1298">
        <v>757.09190000000001</v>
      </c>
      <c r="D140" s="1349">
        <v>0.88735845674745695</v>
      </c>
      <c r="E140" s="1178">
        <f t="shared" si="2"/>
        <v>1.5</v>
      </c>
    </row>
    <row r="141" spans="1:5" ht="14.25">
      <c r="A141" s="1298" t="s">
        <v>2258</v>
      </c>
      <c r="B141" s="1298">
        <v>23.718299999999999</v>
      </c>
      <c r="C141" s="1298">
        <v>27.225300000000001</v>
      </c>
      <c r="D141" s="1349">
        <v>0.8711859924408546</v>
      </c>
      <c r="E141" s="1178">
        <f t="shared" si="2"/>
        <v>1.5</v>
      </c>
    </row>
    <row r="142" spans="1:5" ht="14.25">
      <c r="A142" s="1298" t="s">
        <v>2257</v>
      </c>
      <c r="B142" s="1298">
        <v>180.48480000000001</v>
      </c>
      <c r="C142" s="1298">
        <v>207.184</v>
      </c>
      <c r="D142" s="1349">
        <v>0.87113290601590854</v>
      </c>
      <c r="E142" s="1178">
        <f t="shared" si="2"/>
        <v>1.5</v>
      </c>
    </row>
    <row r="143" spans="1:5" ht="14.25">
      <c r="A143" s="1298" t="s">
        <v>2370</v>
      </c>
      <c r="B143" s="1298">
        <v>14.8353</v>
      </c>
      <c r="C143" s="1298">
        <v>14.8697</v>
      </c>
      <c r="D143" s="1349">
        <v>0.99768657067728328</v>
      </c>
      <c r="E143" s="1178">
        <f t="shared" si="2"/>
        <v>3</v>
      </c>
    </row>
    <row r="144" spans="1:5" ht="14.25">
      <c r="A144" s="1298" t="s">
        <v>2371</v>
      </c>
      <c r="B144" s="1298">
        <v>890.85029999999995</v>
      </c>
      <c r="C144" s="1298">
        <v>1006.3709</v>
      </c>
      <c r="D144" s="1349">
        <v>0.88521071108077554</v>
      </c>
      <c r="E144" s="1178">
        <f t="shared" si="2"/>
        <v>1.5</v>
      </c>
    </row>
    <row r="145" spans="1:5" ht="14.25">
      <c r="A145" s="1298" t="s">
        <v>2255</v>
      </c>
      <c r="B145" s="1298">
        <v>169.93819999999999</v>
      </c>
      <c r="C145" s="1298">
        <v>181.05789999999999</v>
      </c>
      <c r="D145" s="1349">
        <v>0.93858483943534088</v>
      </c>
      <c r="E145" s="1178">
        <f t="shared" si="2"/>
        <v>3</v>
      </c>
    </row>
    <row r="146" spans="1:5" ht="14.25">
      <c r="A146" s="1298" t="s">
        <v>2257</v>
      </c>
      <c r="B146" s="1298">
        <v>157.40440000000001</v>
      </c>
      <c r="C146" s="1298">
        <v>182.27099999999999</v>
      </c>
      <c r="D146" s="1349">
        <v>0.86357347027228692</v>
      </c>
      <c r="E146" s="1178">
        <f t="shared" si="2"/>
        <v>1.5</v>
      </c>
    </row>
    <row r="147" spans="1:5" ht="14.25">
      <c r="A147" s="1298" t="s">
        <v>2370</v>
      </c>
      <c r="B147" s="1298">
        <v>5.4649999999999999</v>
      </c>
      <c r="C147" s="1298">
        <v>6.3211000000000004</v>
      </c>
      <c r="D147" s="1349">
        <v>0.86456471183812944</v>
      </c>
      <c r="E147" s="1178">
        <f t="shared" si="2"/>
        <v>1.5</v>
      </c>
    </row>
    <row r="148" spans="1:5" ht="14.25">
      <c r="A148" s="1298" t="s">
        <v>2371</v>
      </c>
      <c r="B148" s="1298">
        <v>332.80759999999998</v>
      </c>
      <c r="C148" s="1298">
        <v>369.65</v>
      </c>
      <c r="D148" s="1349">
        <v>0.9003316650885973</v>
      </c>
      <c r="E148" s="1178">
        <f t="shared" si="2"/>
        <v>3</v>
      </c>
    </row>
    <row r="149" spans="1:5" ht="14.25">
      <c r="A149" s="1298" t="s">
        <v>2255</v>
      </c>
      <c r="B149" s="1298">
        <v>40.1096</v>
      </c>
      <c r="C149" s="1298">
        <v>40.091500000000003</v>
      </c>
      <c r="D149" s="1349">
        <v>1</v>
      </c>
      <c r="E149" s="1178">
        <f t="shared" si="2"/>
        <v>3</v>
      </c>
    </row>
    <row r="150" spans="1:5" ht="14.25">
      <c r="A150" s="1298" t="s">
        <v>2258</v>
      </c>
      <c r="B150" s="1298">
        <v>4.5027999999999997</v>
      </c>
      <c r="C150" s="1298">
        <v>4.5027999999999997</v>
      </c>
      <c r="D150" s="1349">
        <v>1</v>
      </c>
      <c r="E150" s="1178">
        <f t="shared" si="2"/>
        <v>3</v>
      </c>
    </row>
    <row r="151" spans="1:5" ht="14.25">
      <c r="A151" s="1298" t="s">
        <v>2257</v>
      </c>
      <c r="B151" s="1298">
        <v>9.7199999999999995E-2</v>
      </c>
      <c r="C151" s="1298">
        <v>9.7199999999999995E-2</v>
      </c>
      <c r="D151" s="1349">
        <v>1</v>
      </c>
      <c r="E151" s="1178">
        <f t="shared" si="2"/>
        <v>3</v>
      </c>
    </row>
    <row r="152" spans="1:5" ht="14.25">
      <c r="A152" s="1298" t="s">
        <v>2370</v>
      </c>
      <c r="B152" s="1298">
        <v>0.10440000000000001</v>
      </c>
      <c r="C152" s="1298">
        <v>0.10440000000000001</v>
      </c>
      <c r="D152" s="1349">
        <v>1</v>
      </c>
      <c r="E152" s="1178">
        <f t="shared" si="2"/>
        <v>3</v>
      </c>
    </row>
    <row r="153" spans="1:5" ht="14.25">
      <c r="A153" s="1298" t="s">
        <v>2371</v>
      </c>
      <c r="B153" s="1298">
        <v>44.814</v>
      </c>
      <c r="C153" s="1298">
        <v>44.795900000000003</v>
      </c>
      <c r="D153" s="1349">
        <v>1</v>
      </c>
      <c r="E153" s="1178">
        <f t="shared" si="2"/>
        <v>3</v>
      </c>
    </row>
    <row r="154" spans="1:5" ht="14.25">
      <c r="A154" s="1298" t="s">
        <v>2255</v>
      </c>
      <c r="B154" s="1298">
        <v>91.391599999999997</v>
      </c>
      <c r="C154" s="1298">
        <v>101.0736</v>
      </c>
      <c r="D154" s="1349">
        <v>0.90420841841984456</v>
      </c>
      <c r="E154" s="1178">
        <f t="shared" si="2"/>
        <v>3</v>
      </c>
    </row>
    <row r="155" spans="1:5" ht="14.25">
      <c r="A155" s="1298" t="s">
        <v>2371</v>
      </c>
      <c r="B155" s="1298">
        <v>91.391599999999997</v>
      </c>
      <c r="C155" s="1298">
        <v>101.0736</v>
      </c>
      <c r="D155" s="1349">
        <v>0.90420841841984456</v>
      </c>
      <c r="E155" s="1178">
        <f t="shared" si="2"/>
        <v>3</v>
      </c>
    </row>
    <row r="156" spans="1:5" ht="14.25">
      <c r="A156" s="1298" t="s">
        <v>2255</v>
      </c>
      <c r="B156" s="1298">
        <v>14.475</v>
      </c>
      <c r="C156" s="1298">
        <v>62.448300000000003</v>
      </c>
      <c r="D156" s="1349">
        <v>0.23179173812577764</v>
      </c>
      <c r="E156" s="1178">
        <f t="shared" si="2"/>
        <v>0</v>
      </c>
    </row>
    <row r="157" spans="1:5" ht="14.25">
      <c r="A157" s="1298" t="s">
        <v>2371</v>
      </c>
      <c r="B157" s="1298">
        <v>14.475</v>
      </c>
      <c r="C157" s="1298">
        <v>62.448300000000003</v>
      </c>
      <c r="D157" s="1349">
        <v>0.23179173812577764</v>
      </c>
      <c r="E157" s="1178">
        <f t="shared" si="2"/>
        <v>0</v>
      </c>
    </row>
    <row r="158" spans="1:5" ht="14.25">
      <c r="A158" s="1298" t="s">
        <v>2255</v>
      </c>
      <c r="B158" s="1298">
        <v>145.97620000000001</v>
      </c>
      <c r="C158" s="1298">
        <v>203.61340000000001</v>
      </c>
      <c r="D158" s="1349">
        <v>0.7169282571775728</v>
      </c>
      <c r="E158" s="1178">
        <f t="shared" si="2"/>
        <v>0</v>
      </c>
    </row>
    <row r="159" spans="1:5" ht="14.25">
      <c r="A159" s="1298" t="s">
        <v>2258</v>
      </c>
      <c r="B159" s="1298">
        <v>4.5027999999999997</v>
      </c>
      <c r="C159" s="1298">
        <v>4.5027999999999997</v>
      </c>
      <c r="D159" s="1349">
        <v>1</v>
      </c>
      <c r="E159" s="1178">
        <f t="shared" si="2"/>
        <v>3</v>
      </c>
    </row>
    <row r="160" spans="1:5" ht="14.25">
      <c r="A160" s="1298" t="s">
        <v>2257</v>
      </c>
      <c r="B160" s="1298">
        <v>9.7199999999999995E-2</v>
      </c>
      <c r="C160" s="1298">
        <v>9.7199999999999995E-2</v>
      </c>
      <c r="D160" s="1349">
        <v>1</v>
      </c>
      <c r="E160" s="1178">
        <f t="shared" si="2"/>
        <v>3</v>
      </c>
    </row>
    <row r="161" spans="1:5" ht="14.25">
      <c r="A161" s="1298" t="s">
        <v>2370</v>
      </c>
      <c r="B161" s="1298">
        <v>0.10440000000000001</v>
      </c>
      <c r="C161" s="1298">
        <v>0.10440000000000001</v>
      </c>
      <c r="D161" s="1349">
        <v>1</v>
      </c>
      <c r="E161" s="1178">
        <f t="shared" si="2"/>
        <v>3</v>
      </c>
    </row>
    <row r="162" spans="1:5" ht="14.25">
      <c r="A162" s="1298" t="s">
        <v>2371</v>
      </c>
      <c r="B162" s="1298">
        <v>150.6806</v>
      </c>
      <c r="C162" s="1298">
        <v>208.31780000000001</v>
      </c>
      <c r="D162" s="1349">
        <v>0.72332081079965327</v>
      </c>
      <c r="E162" s="1178">
        <f t="shared" si="2"/>
        <v>0</v>
      </c>
    </row>
    <row r="163" spans="1:5" ht="14.25">
      <c r="A163" s="1298" t="s">
        <v>2255</v>
      </c>
      <c r="B163" s="1298">
        <v>4776.6166000000003</v>
      </c>
      <c r="C163" s="1298">
        <v>5166.2457000000004</v>
      </c>
      <c r="D163" s="1349">
        <v>0.92458177124638108</v>
      </c>
      <c r="E163" s="1178">
        <f t="shared" si="2"/>
        <v>3</v>
      </c>
    </row>
    <row r="164" spans="1:5" ht="14.25">
      <c r="A164" s="1298" t="s">
        <v>2258</v>
      </c>
      <c r="B164" s="1298">
        <v>473.10950000000003</v>
      </c>
      <c r="C164" s="1298">
        <v>492.26740000000001</v>
      </c>
      <c r="D164" s="1349">
        <v>0.96108233045698332</v>
      </c>
      <c r="E164" s="1178">
        <f t="shared" si="2"/>
        <v>3</v>
      </c>
    </row>
    <row r="165" spans="1:5" ht="14.25">
      <c r="A165" s="1298" t="s">
        <v>2257</v>
      </c>
      <c r="B165" s="1298">
        <v>644.06500000000005</v>
      </c>
      <c r="C165" s="1298">
        <v>707.98720000000003</v>
      </c>
      <c r="D165" s="1349">
        <v>0.90971277446823895</v>
      </c>
      <c r="E165" s="1178">
        <f t="shared" si="2"/>
        <v>3</v>
      </c>
    </row>
    <row r="166" spans="1:5" ht="14.25">
      <c r="A166" s="1298" t="s">
        <v>2370</v>
      </c>
      <c r="B166" s="1298">
        <v>86.102699999999999</v>
      </c>
      <c r="C166" s="1298">
        <v>88.534800000000004</v>
      </c>
      <c r="D166" s="1349">
        <v>0.97252944604833358</v>
      </c>
      <c r="E166" s="1178">
        <f t="shared" si="2"/>
        <v>3</v>
      </c>
    </row>
    <row r="167" spans="1:5" ht="14.25">
      <c r="A167" s="1298" t="s">
        <v>2371</v>
      </c>
      <c r="B167" s="1298">
        <v>5979.8937999999998</v>
      </c>
      <c r="C167" s="1298">
        <v>6455.0351000000001</v>
      </c>
      <c r="D167" s="1349">
        <v>0.9263921430884241</v>
      </c>
      <c r="E167" s="1178">
        <f t="shared" si="2"/>
        <v>3</v>
      </c>
    </row>
    <row r="168" spans="1:5" ht="14.25">
      <c r="A168" s="1298" t="s">
        <v>2255</v>
      </c>
      <c r="B168" s="1298">
        <v>147.00569999999999</v>
      </c>
      <c r="C168" s="1298">
        <v>152.52979999999999</v>
      </c>
      <c r="D168" s="1349">
        <v>0.96378347050871371</v>
      </c>
      <c r="E168" s="1178">
        <f t="shared" si="2"/>
        <v>3</v>
      </c>
    </row>
    <row r="169" spans="1:5" ht="14.25">
      <c r="A169" s="1298" t="s">
        <v>2258</v>
      </c>
      <c r="B169" s="1298">
        <v>39.431399999999996</v>
      </c>
      <c r="C169" s="1298">
        <v>39.431399999999996</v>
      </c>
      <c r="D169" s="1349">
        <v>1</v>
      </c>
      <c r="E169" s="1178">
        <f t="shared" si="2"/>
        <v>3</v>
      </c>
    </row>
    <row r="170" spans="1:5" ht="14.25">
      <c r="A170" s="1298" t="s">
        <v>2257</v>
      </c>
      <c r="B170" s="1298">
        <v>0.5494</v>
      </c>
      <c r="C170" s="1298">
        <v>0.5494</v>
      </c>
      <c r="D170" s="1349">
        <v>1</v>
      </c>
      <c r="E170" s="1178">
        <f t="shared" si="2"/>
        <v>3</v>
      </c>
    </row>
    <row r="171" spans="1:5" ht="14.25">
      <c r="A171" s="1298" t="s">
        <v>2370</v>
      </c>
      <c r="B171" s="1298">
        <v>12.437200000000001</v>
      </c>
      <c r="C171" s="1298">
        <v>12.437200000000001</v>
      </c>
      <c r="D171" s="1349">
        <v>1</v>
      </c>
      <c r="E171" s="1178">
        <f t="shared" si="2"/>
        <v>3</v>
      </c>
    </row>
    <row r="172" spans="1:5" ht="14.25">
      <c r="A172" s="1298" t="s">
        <v>2371</v>
      </c>
      <c r="B172" s="1298">
        <v>199.4237</v>
      </c>
      <c r="C172" s="1298">
        <v>204.9478</v>
      </c>
      <c r="D172" s="1349">
        <v>0.97304630740120168</v>
      </c>
      <c r="E172" s="1178">
        <f t="shared" si="2"/>
        <v>3</v>
      </c>
    </row>
    <row r="173" spans="1:5" ht="14.25">
      <c r="A173" s="1298" t="s">
        <v>2255</v>
      </c>
      <c r="B173" s="1298">
        <v>731.89779999999996</v>
      </c>
      <c r="C173" s="1298">
        <v>748.7473</v>
      </c>
      <c r="D173" s="1349">
        <v>0.97749641300876811</v>
      </c>
      <c r="E173" s="1178">
        <f t="shared" si="2"/>
        <v>3</v>
      </c>
    </row>
    <row r="174" spans="1:5" ht="14.25">
      <c r="A174" s="1298" t="s">
        <v>2257</v>
      </c>
      <c r="B174" s="1298">
        <v>42.3065</v>
      </c>
      <c r="C174" s="1298">
        <v>42.3065</v>
      </c>
      <c r="D174" s="1349">
        <v>1</v>
      </c>
      <c r="E174" s="1178">
        <f t="shared" si="2"/>
        <v>3</v>
      </c>
    </row>
    <row r="175" spans="1:5" ht="14.25">
      <c r="A175" s="1298" t="s">
        <v>2370</v>
      </c>
      <c r="B175" s="1298">
        <v>34</v>
      </c>
      <c r="C175" s="1298">
        <v>34</v>
      </c>
      <c r="D175" s="1349">
        <v>1</v>
      </c>
      <c r="E175" s="1178">
        <f t="shared" si="2"/>
        <v>3</v>
      </c>
    </row>
    <row r="176" spans="1:5" ht="14.25">
      <c r="A176" s="1298" t="s">
        <v>2371</v>
      </c>
      <c r="B176" s="1298">
        <v>808.20429999999999</v>
      </c>
      <c r="C176" s="1298">
        <v>825.05380000000002</v>
      </c>
      <c r="D176" s="1349">
        <v>0.97957769541816542</v>
      </c>
      <c r="E176" s="1178">
        <f t="shared" si="2"/>
        <v>3</v>
      </c>
    </row>
    <row r="177" spans="1:5" ht="14.25">
      <c r="A177" s="1298" t="s">
        <v>2255</v>
      </c>
      <c r="B177" s="1298">
        <v>189.88820000000001</v>
      </c>
      <c r="C177" s="1298">
        <v>194.4571</v>
      </c>
      <c r="D177" s="1349">
        <v>0.97650432923251451</v>
      </c>
      <c r="E177" s="1178">
        <f t="shared" si="2"/>
        <v>3</v>
      </c>
    </row>
    <row r="178" spans="1:5" ht="14.25">
      <c r="A178" s="1298" t="s">
        <v>2257</v>
      </c>
      <c r="B178" s="1298">
        <v>2.3580000000000001</v>
      </c>
      <c r="C178" s="1298">
        <v>2.3580000000000001</v>
      </c>
      <c r="D178" s="1349">
        <v>1</v>
      </c>
      <c r="E178" s="1178">
        <f t="shared" si="2"/>
        <v>3</v>
      </c>
    </row>
    <row r="179" spans="1:5" ht="14.25">
      <c r="A179" s="1298" t="s">
        <v>2370</v>
      </c>
      <c r="B179" s="1298">
        <v>14.938800000000001</v>
      </c>
      <c r="C179" s="1298">
        <v>14.938800000000001</v>
      </c>
      <c r="D179" s="1349">
        <v>1</v>
      </c>
      <c r="E179" s="1178">
        <f t="shared" si="2"/>
        <v>3</v>
      </c>
    </row>
    <row r="180" spans="1:5" ht="14.25">
      <c r="A180" s="1298" t="s">
        <v>2371</v>
      </c>
      <c r="B180" s="1298">
        <v>207.185</v>
      </c>
      <c r="C180" s="1298">
        <v>211.75389999999999</v>
      </c>
      <c r="D180" s="1349">
        <v>0.97842353788997516</v>
      </c>
      <c r="E180" s="1178">
        <f t="shared" si="2"/>
        <v>3</v>
      </c>
    </row>
    <row r="181" spans="1:5" ht="14.25">
      <c r="A181" s="1298" t="s">
        <v>2255</v>
      </c>
      <c r="B181" s="1298">
        <v>24.9102</v>
      </c>
      <c r="C181" s="1298">
        <v>25.544</v>
      </c>
      <c r="D181" s="1349">
        <v>0.97518791105543379</v>
      </c>
      <c r="E181" s="1178">
        <f t="shared" si="2"/>
        <v>3</v>
      </c>
    </row>
    <row r="182" spans="1:5" ht="14.25">
      <c r="A182" s="1298" t="s">
        <v>2258</v>
      </c>
      <c r="B182" s="1298">
        <v>27.144500000000001</v>
      </c>
      <c r="C182" s="1298">
        <v>28.4361</v>
      </c>
      <c r="D182" s="1349">
        <v>0.9545788627835744</v>
      </c>
      <c r="E182" s="1178">
        <f t="shared" si="2"/>
        <v>3</v>
      </c>
    </row>
    <row r="183" spans="1:5" ht="14.25">
      <c r="A183" s="1298" t="s">
        <v>2257</v>
      </c>
      <c r="B183" s="1298">
        <v>274.62520000000001</v>
      </c>
      <c r="C183" s="1298">
        <v>277.00279999999998</v>
      </c>
      <c r="D183" s="1349">
        <v>0.99141669326086235</v>
      </c>
      <c r="E183" s="1178">
        <f t="shared" si="2"/>
        <v>3</v>
      </c>
    </row>
    <row r="184" spans="1:5" ht="14.25">
      <c r="A184" s="1298" t="s">
        <v>2370</v>
      </c>
      <c r="B184" s="1298">
        <v>1.2844</v>
      </c>
      <c r="C184" s="1298">
        <v>1.2844</v>
      </c>
      <c r="D184" s="1349">
        <v>1</v>
      </c>
      <c r="E184" s="1178">
        <f t="shared" si="2"/>
        <v>3</v>
      </c>
    </row>
    <row r="185" spans="1:5" ht="14.25">
      <c r="A185" s="1298" t="s">
        <v>2371</v>
      </c>
      <c r="B185" s="1298">
        <v>327.96429999999998</v>
      </c>
      <c r="C185" s="1298">
        <v>332.26729999999998</v>
      </c>
      <c r="D185" s="1349">
        <v>0.987049583272263</v>
      </c>
      <c r="E185" s="1178">
        <f t="shared" si="2"/>
        <v>3</v>
      </c>
    </row>
    <row r="186" spans="1:5" ht="14.25">
      <c r="A186" s="1298" t="s">
        <v>2255</v>
      </c>
      <c r="B186" s="1298">
        <v>259.11989999999997</v>
      </c>
      <c r="C186" s="1298">
        <v>260.40730000000002</v>
      </c>
      <c r="D186" s="1349">
        <v>0.99505620618162394</v>
      </c>
      <c r="E186" s="1178">
        <f t="shared" si="2"/>
        <v>3</v>
      </c>
    </row>
    <row r="187" spans="1:5" ht="14.25">
      <c r="A187" s="1298" t="s">
        <v>2371</v>
      </c>
      <c r="B187" s="1298">
        <v>259.11989999999997</v>
      </c>
      <c r="C187" s="1298">
        <v>260.40730000000002</v>
      </c>
      <c r="D187" s="1349">
        <v>0.99505620618162394</v>
      </c>
      <c r="E187" s="1178">
        <f t="shared" si="2"/>
        <v>3</v>
      </c>
    </row>
    <row r="188" spans="1:5" ht="14.25">
      <c r="A188" s="1298" t="s">
        <v>2255</v>
      </c>
      <c r="B188" s="1298">
        <v>220.79150000000001</v>
      </c>
      <c r="C188" s="1298">
        <v>222.9051</v>
      </c>
      <c r="D188" s="1349">
        <v>0.9905179379027218</v>
      </c>
      <c r="E188" s="1178">
        <f t="shared" si="2"/>
        <v>3</v>
      </c>
    </row>
    <row r="189" spans="1:5" ht="14.25">
      <c r="A189" s="1298" t="s">
        <v>2370</v>
      </c>
      <c r="B189" s="1298">
        <v>0.87209999999999999</v>
      </c>
      <c r="C189" s="1298">
        <v>0.87309999999999999</v>
      </c>
      <c r="D189" s="1349">
        <v>0.99885465582407518</v>
      </c>
      <c r="E189" s="1178">
        <f t="shared" si="2"/>
        <v>3</v>
      </c>
    </row>
    <row r="190" spans="1:5" ht="14.25">
      <c r="A190" s="1298" t="s">
        <v>2371</v>
      </c>
      <c r="B190" s="1298">
        <v>221.6636</v>
      </c>
      <c r="C190" s="1298">
        <v>223.7782</v>
      </c>
      <c r="D190" s="1349">
        <v>0.99055046470120856</v>
      </c>
      <c r="E190" s="1178">
        <f t="shared" si="2"/>
        <v>3</v>
      </c>
    </row>
    <row r="191" spans="1:5" ht="14.25">
      <c r="A191" s="1298" t="s">
        <v>2255</v>
      </c>
      <c r="B191" s="1298">
        <v>85.853300000000004</v>
      </c>
      <c r="C191" s="1298">
        <v>87.159300000000002</v>
      </c>
      <c r="D191" s="1349">
        <v>0.98501594207388077</v>
      </c>
      <c r="E191" s="1178">
        <f t="shared" si="2"/>
        <v>3</v>
      </c>
    </row>
    <row r="192" spans="1:5" ht="14.25">
      <c r="A192" s="1298" t="s">
        <v>2370</v>
      </c>
      <c r="B192" s="1298">
        <v>2</v>
      </c>
      <c r="C192" s="1298">
        <v>2</v>
      </c>
      <c r="D192" s="1349">
        <v>1</v>
      </c>
      <c r="E192" s="1178">
        <f t="shared" si="2"/>
        <v>3</v>
      </c>
    </row>
    <row r="193" spans="1:5" ht="14.25">
      <c r="A193" s="1298" t="s">
        <v>2371</v>
      </c>
      <c r="B193" s="1298">
        <v>87.853300000000004</v>
      </c>
      <c r="C193" s="1298">
        <v>89.159300000000002</v>
      </c>
      <c r="D193" s="1349">
        <v>0.98535206086185068</v>
      </c>
      <c r="E193" s="1178">
        <f t="shared" si="2"/>
        <v>3</v>
      </c>
    </row>
    <row r="194" spans="1:5" ht="14.25">
      <c r="A194" s="1298" t="s">
        <v>2255</v>
      </c>
      <c r="B194" s="1298">
        <v>44.556100000000001</v>
      </c>
      <c r="C194" s="1298">
        <v>50.556100000000001</v>
      </c>
      <c r="D194" s="1349">
        <v>0.88131995941142616</v>
      </c>
      <c r="E194" s="1178">
        <f t="shared" si="2"/>
        <v>1.5</v>
      </c>
    </row>
    <row r="195" spans="1:5" ht="14.25">
      <c r="A195" s="1298" t="s">
        <v>2371</v>
      </c>
      <c r="B195" s="1298">
        <v>44.556100000000001</v>
      </c>
      <c r="C195" s="1298">
        <v>50.556100000000001</v>
      </c>
      <c r="D195" s="1349">
        <v>0.88131995941142616</v>
      </c>
      <c r="E195" s="1178">
        <f t="shared" ref="E195:E258" si="3">IF(D195&gt;0.9,3,IF(D195&gt;0.8,1.5,0))</f>
        <v>1.5</v>
      </c>
    </row>
    <row r="196" spans="1:5" ht="14.25">
      <c r="A196" s="1298" t="s">
        <v>2255</v>
      </c>
      <c r="B196" s="1298">
        <v>35.682400000000001</v>
      </c>
      <c r="C196" s="1298">
        <v>35.979300000000002</v>
      </c>
      <c r="D196" s="1349">
        <v>0.99174803289669333</v>
      </c>
      <c r="E196" s="1178">
        <f t="shared" si="3"/>
        <v>3</v>
      </c>
    </row>
    <row r="197" spans="1:5" ht="14.25">
      <c r="A197" s="1298" t="s">
        <v>2370</v>
      </c>
      <c r="B197" s="1298">
        <v>16.331299999999999</v>
      </c>
      <c r="C197" s="1298">
        <v>16.331299999999999</v>
      </c>
      <c r="D197" s="1349">
        <v>1</v>
      </c>
      <c r="E197" s="1178">
        <f t="shared" si="3"/>
        <v>3</v>
      </c>
    </row>
    <row r="198" spans="1:5" ht="14.25">
      <c r="A198" s="1298" t="s">
        <v>2371</v>
      </c>
      <c r="B198" s="1298">
        <v>52.0137</v>
      </c>
      <c r="C198" s="1298">
        <v>52.310600000000001</v>
      </c>
      <c r="D198" s="1349">
        <v>0.99432428609115553</v>
      </c>
      <c r="E198" s="1178">
        <f t="shared" si="3"/>
        <v>3</v>
      </c>
    </row>
    <row r="199" spans="1:5" ht="14.25">
      <c r="A199" s="1298" t="s">
        <v>2255</v>
      </c>
      <c r="B199" s="1298">
        <v>37.1419</v>
      </c>
      <c r="C199" s="1298">
        <v>37.595599999999997</v>
      </c>
      <c r="D199" s="1349">
        <v>0.9879320984370511</v>
      </c>
      <c r="E199" s="1178">
        <f t="shared" si="3"/>
        <v>3</v>
      </c>
    </row>
    <row r="200" spans="1:5" ht="14.25">
      <c r="A200" s="1298" t="s">
        <v>2370</v>
      </c>
      <c r="B200" s="1298">
        <v>7</v>
      </c>
      <c r="C200" s="1298">
        <v>7</v>
      </c>
      <c r="D200" s="1349">
        <v>1</v>
      </c>
      <c r="E200" s="1178">
        <f t="shared" si="3"/>
        <v>3</v>
      </c>
    </row>
    <row r="201" spans="1:5" ht="14.25">
      <c r="A201" s="1298" t="s">
        <v>2371</v>
      </c>
      <c r="B201" s="1298">
        <v>44.1419</v>
      </c>
      <c r="C201" s="1298">
        <v>44.595599999999997</v>
      </c>
      <c r="D201" s="1349">
        <v>0.98982635058167179</v>
      </c>
      <c r="E201" s="1178">
        <f t="shared" si="3"/>
        <v>3</v>
      </c>
    </row>
    <row r="202" spans="1:5" ht="14.25">
      <c r="A202" s="1298" t="s">
        <v>2255</v>
      </c>
      <c r="B202" s="1298">
        <v>69.301699999999997</v>
      </c>
      <c r="C202" s="1298">
        <v>71.852599999999995</v>
      </c>
      <c r="D202" s="1349">
        <v>0.9644981531635598</v>
      </c>
      <c r="E202" s="1178">
        <f t="shared" si="3"/>
        <v>3</v>
      </c>
    </row>
    <row r="203" spans="1:5" ht="14.25">
      <c r="A203" s="1298" t="s">
        <v>2370</v>
      </c>
      <c r="B203" s="1298">
        <v>4.4880000000000004</v>
      </c>
      <c r="C203" s="1298">
        <v>4.4880000000000004</v>
      </c>
      <c r="D203" s="1349">
        <v>1</v>
      </c>
      <c r="E203" s="1178">
        <f t="shared" si="3"/>
        <v>3</v>
      </c>
    </row>
    <row r="204" spans="1:5" ht="14.25">
      <c r="A204" s="1298" t="s">
        <v>2371</v>
      </c>
      <c r="B204" s="1298">
        <v>73.789699999999996</v>
      </c>
      <c r="C204" s="1298">
        <v>76.340599999999995</v>
      </c>
      <c r="D204" s="1349">
        <v>0.9665852770347626</v>
      </c>
      <c r="E204" s="1178">
        <f t="shared" si="3"/>
        <v>3</v>
      </c>
    </row>
    <row r="205" spans="1:5" ht="14.25">
      <c r="A205" s="1298" t="s">
        <v>2255</v>
      </c>
      <c r="B205" s="1298">
        <v>36.070300000000003</v>
      </c>
      <c r="C205" s="1298">
        <v>36.2789</v>
      </c>
      <c r="D205" s="1349">
        <v>0.99425010129855096</v>
      </c>
      <c r="E205" s="1178">
        <f t="shared" si="3"/>
        <v>3</v>
      </c>
    </row>
    <row r="206" spans="1:5" ht="14.25">
      <c r="A206" s="1298" t="s">
        <v>2371</v>
      </c>
      <c r="B206" s="1298">
        <v>36.070300000000003</v>
      </c>
      <c r="C206" s="1298">
        <v>36.2789</v>
      </c>
      <c r="D206" s="1349">
        <v>0.99425010129855096</v>
      </c>
      <c r="E206" s="1178">
        <f t="shared" si="3"/>
        <v>3</v>
      </c>
    </row>
    <row r="207" spans="1:5" ht="14.25">
      <c r="A207" s="1298" t="s">
        <v>2255</v>
      </c>
      <c r="B207" s="1298">
        <v>813.42729999999995</v>
      </c>
      <c r="C207" s="1298">
        <v>828.27819999999997</v>
      </c>
      <c r="D207" s="1349">
        <v>0.98207015468957171</v>
      </c>
      <c r="E207" s="1178">
        <f t="shared" si="3"/>
        <v>3</v>
      </c>
    </row>
    <row r="208" spans="1:5" ht="14.25">
      <c r="A208" s="1298" t="s">
        <v>2258</v>
      </c>
      <c r="B208" s="1298">
        <v>27.144500000000001</v>
      </c>
      <c r="C208" s="1298">
        <v>28.4361</v>
      </c>
      <c r="D208" s="1349">
        <v>0.9545788627835744</v>
      </c>
      <c r="E208" s="1178">
        <f t="shared" si="3"/>
        <v>3</v>
      </c>
    </row>
    <row r="209" spans="1:5" ht="14.25">
      <c r="A209" s="1298" t="s">
        <v>2257</v>
      </c>
      <c r="B209" s="1298">
        <v>274.62520000000001</v>
      </c>
      <c r="C209" s="1298">
        <v>277.00279999999998</v>
      </c>
      <c r="D209" s="1349">
        <v>0.99141669326086235</v>
      </c>
      <c r="E209" s="1178">
        <f t="shared" si="3"/>
        <v>3</v>
      </c>
    </row>
    <row r="210" spans="1:5" ht="14.25">
      <c r="A210" s="1298" t="s">
        <v>2370</v>
      </c>
      <c r="B210" s="1298">
        <v>31.9758</v>
      </c>
      <c r="C210" s="1298">
        <v>31.976800000000001</v>
      </c>
      <c r="D210" s="1349">
        <v>0.99996872732731235</v>
      </c>
      <c r="E210" s="1178">
        <f t="shared" si="3"/>
        <v>3</v>
      </c>
    </row>
    <row r="211" spans="1:5" ht="14.25">
      <c r="A211" s="1298" t="s">
        <v>2371</v>
      </c>
      <c r="B211" s="1298">
        <v>1147.1728000000001</v>
      </c>
      <c r="C211" s="1298">
        <v>1165.6939</v>
      </c>
      <c r="D211" s="1349">
        <v>0.9841115236169633</v>
      </c>
      <c r="E211" s="1178">
        <f t="shared" si="3"/>
        <v>3</v>
      </c>
    </row>
    <row r="212" spans="1:5" ht="14.25">
      <c r="A212" s="1298" t="s">
        <v>2255</v>
      </c>
      <c r="B212" s="1298">
        <v>24.275600000000001</v>
      </c>
      <c r="C212" s="1298">
        <v>24.276</v>
      </c>
      <c r="D212" s="1349">
        <v>0.99998352282089309</v>
      </c>
      <c r="E212" s="1178">
        <f t="shared" si="3"/>
        <v>3</v>
      </c>
    </row>
    <row r="213" spans="1:5" ht="14.25">
      <c r="A213" s="1298" t="s">
        <v>2258</v>
      </c>
      <c r="B213" s="1298">
        <v>19.4483</v>
      </c>
      <c r="C213" s="1298">
        <v>20.758500000000002</v>
      </c>
      <c r="D213" s="1349">
        <v>0.9368836862008334</v>
      </c>
      <c r="E213" s="1178">
        <f t="shared" si="3"/>
        <v>3</v>
      </c>
    </row>
    <row r="214" spans="1:5" ht="14.25">
      <c r="A214" s="1298" t="s">
        <v>2257</v>
      </c>
      <c r="B214" s="1298">
        <v>4.1357999999999997</v>
      </c>
      <c r="C214" s="1298">
        <v>4.1357999999999997</v>
      </c>
      <c r="D214" s="1349">
        <v>1</v>
      </c>
      <c r="E214" s="1178">
        <f t="shared" si="3"/>
        <v>3</v>
      </c>
    </row>
    <row r="215" spans="1:5" ht="14.25">
      <c r="A215" s="1298" t="s">
        <v>2370</v>
      </c>
      <c r="B215" s="1298">
        <v>3.4319000000000002</v>
      </c>
      <c r="C215" s="1298">
        <v>3.4319000000000002</v>
      </c>
      <c r="D215" s="1349">
        <v>1</v>
      </c>
      <c r="E215" s="1178">
        <f t="shared" si="3"/>
        <v>3</v>
      </c>
    </row>
    <row r="216" spans="1:5" ht="14.25">
      <c r="A216" s="1298" t="s">
        <v>2371</v>
      </c>
      <c r="B216" s="1298">
        <v>51.291600000000003</v>
      </c>
      <c r="C216" s="1298">
        <v>52.602200000000003</v>
      </c>
      <c r="D216" s="1349">
        <v>0.97508469227522798</v>
      </c>
      <c r="E216" s="1178">
        <f t="shared" si="3"/>
        <v>3</v>
      </c>
    </row>
    <row r="217" spans="1:5" ht="14.25">
      <c r="A217" s="1298" t="s">
        <v>2255</v>
      </c>
      <c r="B217" s="1298">
        <v>66.0304</v>
      </c>
      <c r="C217" s="1298">
        <v>66.609300000000005</v>
      </c>
      <c r="D217" s="1349">
        <v>0.99130902141292587</v>
      </c>
      <c r="E217" s="1178">
        <f t="shared" si="3"/>
        <v>3</v>
      </c>
    </row>
    <row r="218" spans="1:5" ht="14.25">
      <c r="A218" s="1298" t="s">
        <v>2370</v>
      </c>
      <c r="B218" s="1298">
        <v>7.3480999999999996</v>
      </c>
      <c r="C218" s="1298">
        <v>7.3480999999999996</v>
      </c>
      <c r="D218" s="1349">
        <v>1</v>
      </c>
      <c r="E218" s="1178">
        <f t="shared" si="3"/>
        <v>3</v>
      </c>
    </row>
    <row r="219" spans="1:5" ht="14.25">
      <c r="A219" s="1298" t="s">
        <v>2371</v>
      </c>
      <c r="B219" s="1298">
        <v>73.378500000000003</v>
      </c>
      <c r="C219" s="1298">
        <v>73.957400000000007</v>
      </c>
      <c r="D219" s="1349">
        <v>0.99217252093772901</v>
      </c>
      <c r="E219" s="1178">
        <f t="shared" si="3"/>
        <v>3</v>
      </c>
    </row>
    <row r="220" spans="1:5" ht="14.25">
      <c r="A220" s="1298" t="s">
        <v>2255</v>
      </c>
      <c r="B220" s="1298">
        <v>105.15730000000001</v>
      </c>
      <c r="C220" s="1298">
        <v>105.15049999999999</v>
      </c>
      <c r="D220" s="1349">
        <v>1</v>
      </c>
      <c r="E220" s="1178">
        <f t="shared" si="3"/>
        <v>3</v>
      </c>
    </row>
    <row r="221" spans="1:5" ht="14.25">
      <c r="A221" s="1298" t="s">
        <v>2370</v>
      </c>
      <c r="B221" s="1298">
        <v>2.1015000000000001</v>
      </c>
      <c r="C221" s="1298">
        <v>2.1015000000000001</v>
      </c>
      <c r="D221" s="1349">
        <v>1</v>
      </c>
      <c r="E221" s="1178">
        <f t="shared" si="3"/>
        <v>3</v>
      </c>
    </row>
    <row r="222" spans="1:5" ht="14.25">
      <c r="A222" s="1298" t="s">
        <v>2371</v>
      </c>
      <c r="B222" s="1298">
        <v>107.25879999999999</v>
      </c>
      <c r="C222" s="1298">
        <v>107.252</v>
      </c>
      <c r="D222" s="1349">
        <v>1</v>
      </c>
      <c r="E222" s="1178">
        <f t="shared" si="3"/>
        <v>3</v>
      </c>
    </row>
    <row r="223" spans="1:5" ht="14.25">
      <c r="A223" s="1298" t="s">
        <v>2255</v>
      </c>
      <c r="B223" s="1298">
        <v>355.26420000000002</v>
      </c>
      <c r="C223" s="1298">
        <v>356.43529999999998</v>
      </c>
      <c r="D223" s="1349">
        <v>0.99671441072194589</v>
      </c>
      <c r="E223" s="1178">
        <f t="shared" si="3"/>
        <v>3</v>
      </c>
    </row>
    <row r="224" spans="1:5" ht="14.25">
      <c r="A224" s="1298" t="s">
        <v>2370</v>
      </c>
      <c r="B224" s="1298">
        <v>5.1562000000000001</v>
      </c>
      <c r="C224" s="1298">
        <v>5.1562000000000001</v>
      </c>
      <c r="D224" s="1349">
        <v>1</v>
      </c>
      <c r="E224" s="1178">
        <f t="shared" si="3"/>
        <v>3</v>
      </c>
    </row>
    <row r="225" spans="1:5" ht="14.25">
      <c r="A225" s="1298" t="s">
        <v>2371</v>
      </c>
      <c r="B225" s="1298">
        <v>360.42039999999997</v>
      </c>
      <c r="C225" s="1298">
        <v>361.5915</v>
      </c>
      <c r="D225" s="1349">
        <v>0.99676126236374474</v>
      </c>
      <c r="E225" s="1178">
        <f t="shared" si="3"/>
        <v>3</v>
      </c>
    </row>
    <row r="226" spans="1:5" ht="14.25">
      <c r="A226" s="1298" t="s">
        <v>2255</v>
      </c>
      <c r="B226" s="1298">
        <v>1.4379</v>
      </c>
      <c r="C226" s="1298">
        <v>1.4379</v>
      </c>
      <c r="D226" s="1349">
        <v>1</v>
      </c>
      <c r="E226" s="1178">
        <f t="shared" si="3"/>
        <v>3</v>
      </c>
    </row>
    <row r="227" spans="1:5" ht="14.25">
      <c r="A227" s="1298" t="s">
        <v>2370</v>
      </c>
      <c r="B227" s="1298">
        <v>2</v>
      </c>
      <c r="C227" s="1298">
        <v>2</v>
      </c>
      <c r="D227" s="1349">
        <v>1</v>
      </c>
      <c r="E227" s="1178">
        <f t="shared" si="3"/>
        <v>3</v>
      </c>
    </row>
    <row r="228" spans="1:5" ht="14.25">
      <c r="A228" s="1298" t="s">
        <v>2371</v>
      </c>
      <c r="B228" s="1298">
        <v>3.4379</v>
      </c>
      <c r="C228" s="1298">
        <v>3.4379</v>
      </c>
      <c r="D228" s="1349">
        <v>1</v>
      </c>
      <c r="E228" s="1178">
        <f t="shared" si="3"/>
        <v>3</v>
      </c>
    </row>
    <row r="229" spans="1:5" ht="14.25">
      <c r="A229" s="1298" t="s">
        <v>2255</v>
      </c>
      <c r="B229" s="1298">
        <v>31.934000000000001</v>
      </c>
      <c r="C229" s="1298">
        <v>34.295299999999997</v>
      </c>
      <c r="D229" s="1349">
        <v>0.93114799987170249</v>
      </c>
      <c r="E229" s="1178">
        <f t="shared" si="3"/>
        <v>3</v>
      </c>
    </row>
    <row r="230" spans="1:5" ht="14.25">
      <c r="A230" s="1298" t="s">
        <v>2370</v>
      </c>
      <c r="B230" s="1298">
        <v>0.36</v>
      </c>
      <c r="C230" s="1298">
        <v>0.36</v>
      </c>
      <c r="D230" s="1349">
        <v>1</v>
      </c>
      <c r="E230" s="1178">
        <f t="shared" si="3"/>
        <v>3</v>
      </c>
    </row>
    <row r="231" spans="1:5" ht="14.25">
      <c r="A231" s="1298" t="s">
        <v>2371</v>
      </c>
      <c r="B231" s="1298">
        <v>32.293999999999997</v>
      </c>
      <c r="C231" s="1298">
        <v>34.655299999999997</v>
      </c>
      <c r="D231" s="1349">
        <v>0.93186323592639508</v>
      </c>
      <c r="E231" s="1178">
        <f t="shared" si="3"/>
        <v>3</v>
      </c>
    </row>
    <row r="232" spans="1:5" ht="14.25">
      <c r="A232" s="1298" t="s">
        <v>2255</v>
      </c>
      <c r="B232" s="1298">
        <v>270.49939999999998</v>
      </c>
      <c r="C232" s="1298">
        <v>279.20909999999998</v>
      </c>
      <c r="D232" s="1349">
        <v>0.96880581614281192</v>
      </c>
      <c r="E232" s="1178">
        <f t="shared" si="3"/>
        <v>3</v>
      </c>
    </row>
    <row r="233" spans="1:5" ht="14.25">
      <c r="A233" s="1298" t="s">
        <v>2370</v>
      </c>
      <c r="B233" s="1298">
        <v>6.3715999999999999</v>
      </c>
      <c r="C233" s="1298">
        <v>6.3715999999999999</v>
      </c>
      <c r="D233" s="1349">
        <v>1</v>
      </c>
      <c r="E233" s="1178">
        <f t="shared" si="3"/>
        <v>3</v>
      </c>
    </row>
    <row r="234" spans="1:5" ht="14.25">
      <c r="A234" s="1298" t="s">
        <v>2371</v>
      </c>
      <c r="B234" s="1298">
        <v>276.87099999999998</v>
      </c>
      <c r="C234" s="1298">
        <v>285.58069999999998</v>
      </c>
      <c r="D234" s="1349">
        <v>0.96950179056217733</v>
      </c>
      <c r="E234" s="1178">
        <f t="shared" si="3"/>
        <v>3</v>
      </c>
    </row>
    <row r="235" spans="1:5" ht="14.25">
      <c r="A235" s="1298" t="s">
        <v>2255</v>
      </c>
      <c r="B235" s="1298">
        <v>10.726800000000001</v>
      </c>
      <c r="C235" s="1298">
        <v>10.729900000000001</v>
      </c>
      <c r="D235" s="1349">
        <v>0.99971108770817996</v>
      </c>
      <c r="E235" s="1178">
        <f t="shared" si="3"/>
        <v>3</v>
      </c>
    </row>
    <row r="236" spans="1:5" ht="14.25">
      <c r="A236" s="1298" t="s">
        <v>2370</v>
      </c>
      <c r="B236" s="1298">
        <v>0.85350000000000004</v>
      </c>
      <c r="C236" s="1298">
        <v>1.0423</v>
      </c>
      <c r="D236" s="1349">
        <v>0.81886213182385115</v>
      </c>
      <c r="E236" s="1178">
        <f t="shared" si="3"/>
        <v>1.5</v>
      </c>
    </row>
    <row r="237" spans="1:5" ht="14.25">
      <c r="A237" s="1298" t="s">
        <v>2371</v>
      </c>
      <c r="B237" s="1298">
        <v>11.580299999999999</v>
      </c>
      <c r="C237" s="1298">
        <v>11.7722</v>
      </c>
      <c r="D237" s="1349">
        <v>0.98369888381101234</v>
      </c>
      <c r="E237" s="1178">
        <f t="shared" si="3"/>
        <v>3</v>
      </c>
    </row>
    <row r="238" spans="1:5" ht="14.25">
      <c r="A238" s="1298" t="s">
        <v>2255</v>
      </c>
      <c r="B238" s="1298">
        <v>19.217600000000001</v>
      </c>
      <c r="C238" s="1298">
        <v>19.217600000000001</v>
      </c>
      <c r="D238" s="1349">
        <v>1</v>
      </c>
      <c r="E238" s="1178">
        <f t="shared" si="3"/>
        <v>3</v>
      </c>
    </row>
    <row r="239" spans="1:5" ht="14.25">
      <c r="A239" s="1298" t="s">
        <v>2371</v>
      </c>
      <c r="B239" s="1298">
        <v>19.217600000000001</v>
      </c>
      <c r="C239" s="1298">
        <v>19.217600000000001</v>
      </c>
      <c r="D239" s="1349">
        <v>1</v>
      </c>
      <c r="E239" s="1178">
        <f t="shared" si="3"/>
        <v>3</v>
      </c>
    </row>
    <row r="240" spans="1:5" ht="14.25">
      <c r="A240" s="1298" t="s">
        <v>2255</v>
      </c>
      <c r="B240" s="1298">
        <v>884.54319999999996</v>
      </c>
      <c r="C240" s="1298">
        <v>897.36090000000002</v>
      </c>
      <c r="D240" s="1349">
        <v>0.98571622632543943</v>
      </c>
      <c r="E240" s="1178">
        <f t="shared" si="3"/>
        <v>3</v>
      </c>
    </row>
    <row r="241" spans="1:5" ht="14.25">
      <c r="A241" s="1298" t="s">
        <v>2258</v>
      </c>
      <c r="B241" s="1298">
        <v>19.4483</v>
      </c>
      <c r="C241" s="1298">
        <v>20.758500000000002</v>
      </c>
      <c r="D241" s="1349">
        <v>0.9368836862008334</v>
      </c>
      <c r="E241" s="1178">
        <f t="shared" si="3"/>
        <v>3</v>
      </c>
    </row>
    <row r="242" spans="1:5" ht="14.25">
      <c r="A242" s="1298" t="s">
        <v>2257</v>
      </c>
      <c r="B242" s="1298">
        <v>4.1357999999999997</v>
      </c>
      <c r="C242" s="1298">
        <v>4.1357999999999997</v>
      </c>
      <c r="D242" s="1349">
        <v>1</v>
      </c>
      <c r="E242" s="1178">
        <f t="shared" si="3"/>
        <v>3</v>
      </c>
    </row>
    <row r="243" spans="1:5" ht="14.25">
      <c r="A243" s="1298" t="s">
        <v>2370</v>
      </c>
      <c r="B243" s="1298">
        <v>27.622800000000002</v>
      </c>
      <c r="C243" s="1298">
        <v>27.811599999999999</v>
      </c>
      <c r="D243" s="1349">
        <v>0.99321146571934016</v>
      </c>
      <c r="E243" s="1178">
        <f t="shared" si="3"/>
        <v>3</v>
      </c>
    </row>
    <row r="244" spans="1:5" ht="14.25">
      <c r="A244" s="1298" t="s">
        <v>2371</v>
      </c>
      <c r="B244" s="1298">
        <v>935.75009999999997</v>
      </c>
      <c r="C244" s="1298">
        <v>950.06679999999994</v>
      </c>
      <c r="D244" s="1349">
        <v>0.98493084907292838</v>
      </c>
      <c r="E244" s="1178">
        <f t="shared" si="3"/>
        <v>3</v>
      </c>
    </row>
    <row r="245" spans="1:5" ht="14.25">
      <c r="A245" s="1298" t="s">
        <v>2255</v>
      </c>
      <c r="B245" s="1298">
        <v>469.87079999999997</v>
      </c>
      <c r="C245" s="1298">
        <v>474.91890000000001</v>
      </c>
      <c r="D245" s="1349">
        <v>0.9893706062235047</v>
      </c>
      <c r="E245" s="1178">
        <f t="shared" si="3"/>
        <v>3</v>
      </c>
    </row>
    <row r="246" spans="1:5" ht="14.25">
      <c r="A246" s="1298" t="s">
        <v>2258</v>
      </c>
      <c r="B246" s="1298">
        <v>63.825499999999998</v>
      </c>
      <c r="C246" s="1298">
        <v>64.912700000000001</v>
      </c>
      <c r="D246" s="1349">
        <v>0.98325135143045972</v>
      </c>
      <c r="E246" s="1178">
        <f t="shared" si="3"/>
        <v>3</v>
      </c>
    </row>
    <row r="247" spans="1:5" ht="14.25">
      <c r="A247" s="1298" t="s">
        <v>2257</v>
      </c>
      <c r="B247" s="1298">
        <v>0.94399999999999995</v>
      </c>
      <c r="C247" s="1298">
        <v>0.94399999999999995</v>
      </c>
      <c r="D247" s="1349">
        <v>1</v>
      </c>
      <c r="E247" s="1178">
        <f t="shared" si="3"/>
        <v>3</v>
      </c>
    </row>
    <row r="248" spans="1:5" ht="14.25">
      <c r="A248" s="1298" t="s">
        <v>2370</v>
      </c>
      <c r="B248" s="1298">
        <v>36.336599999999997</v>
      </c>
      <c r="C248" s="1298">
        <v>36.546500000000002</v>
      </c>
      <c r="D248" s="1349">
        <v>0.99425663196202096</v>
      </c>
      <c r="E248" s="1178">
        <f t="shared" si="3"/>
        <v>3</v>
      </c>
    </row>
    <row r="249" spans="1:5" ht="14.25">
      <c r="A249" s="1298" t="s">
        <v>2371</v>
      </c>
      <c r="B249" s="1298">
        <v>570.9769</v>
      </c>
      <c r="C249" s="1298">
        <v>577.32209999999998</v>
      </c>
      <c r="D249" s="1349">
        <v>0.98900925497222436</v>
      </c>
      <c r="E249" s="1178">
        <f t="shared" si="3"/>
        <v>3</v>
      </c>
    </row>
    <row r="250" spans="1:5" ht="14.25">
      <c r="A250" s="1298" t="s">
        <v>2255</v>
      </c>
      <c r="B250" s="1298">
        <v>8.7098999999999993</v>
      </c>
      <c r="C250" s="1298">
        <v>9.2121999999999993</v>
      </c>
      <c r="D250" s="1349">
        <v>0.9454744794945833</v>
      </c>
      <c r="E250" s="1178">
        <f t="shared" si="3"/>
        <v>3</v>
      </c>
    </row>
    <row r="251" spans="1:5" ht="14.25">
      <c r="A251" s="1298" t="s">
        <v>2371</v>
      </c>
      <c r="B251" s="1298">
        <v>8.7098999999999993</v>
      </c>
      <c r="C251" s="1298">
        <v>9.2121999999999993</v>
      </c>
      <c r="D251" s="1349">
        <v>0.9454744794945833</v>
      </c>
      <c r="E251" s="1178">
        <f t="shared" si="3"/>
        <v>3</v>
      </c>
    </row>
    <row r="252" spans="1:5" ht="14.25">
      <c r="A252" s="1298" t="s">
        <v>2255</v>
      </c>
      <c r="B252" s="1298">
        <v>153.30869999999999</v>
      </c>
      <c r="C252" s="1298">
        <v>157.08600000000001</v>
      </c>
      <c r="D252" s="1349">
        <v>0.97595393606050185</v>
      </c>
      <c r="E252" s="1178">
        <f t="shared" si="3"/>
        <v>3</v>
      </c>
    </row>
    <row r="253" spans="1:5" ht="14.25">
      <c r="A253" s="1298" t="s">
        <v>2370</v>
      </c>
      <c r="B253" s="1298">
        <v>10</v>
      </c>
      <c r="C253" s="1298">
        <v>10</v>
      </c>
      <c r="D253" s="1349">
        <v>1</v>
      </c>
      <c r="E253" s="1178">
        <f t="shared" si="3"/>
        <v>3</v>
      </c>
    </row>
    <row r="254" spans="1:5" ht="14.25">
      <c r="A254" s="1298" t="s">
        <v>2371</v>
      </c>
      <c r="B254" s="1298">
        <v>163.30869999999999</v>
      </c>
      <c r="C254" s="1298">
        <v>167.08600000000001</v>
      </c>
      <c r="D254" s="1349">
        <v>0.97739307901320283</v>
      </c>
      <c r="E254" s="1178">
        <f t="shared" si="3"/>
        <v>3</v>
      </c>
    </row>
    <row r="255" spans="1:5" ht="14.25">
      <c r="A255" s="1298" t="s">
        <v>2255</v>
      </c>
      <c r="B255" s="1298">
        <v>119.27800000000001</v>
      </c>
      <c r="C255" s="1298">
        <v>119.6587</v>
      </c>
      <c r="D255" s="1349">
        <v>0.99681845114479761</v>
      </c>
      <c r="E255" s="1178">
        <f t="shared" si="3"/>
        <v>3</v>
      </c>
    </row>
    <row r="256" spans="1:5" ht="14.25">
      <c r="A256" s="1298" t="s">
        <v>2257</v>
      </c>
      <c r="B256" s="1298">
        <v>4.8414000000000001</v>
      </c>
      <c r="C256" s="1298">
        <v>5.1002000000000001</v>
      </c>
      <c r="D256" s="1349">
        <v>0.94925689188659268</v>
      </c>
      <c r="E256" s="1178">
        <f t="shared" si="3"/>
        <v>3</v>
      </c>
    </row>
    <row r="257" spans="1:5" ht="14.25">
      <c r="A257" s="1298" t="s">
        <v>2370</v>
      </c>
      <c r="B257" s="1298">
        <v>10</v>
      </c>
      <c r="C257" s="1298">
        <v>10</v>
      </c>
      <c r="D257" s="1349">
        <v>1</v>
      </c>
      <c r="E257" s="1178">
        <f t="shared" si="3"/>
        <v>3</v>
      </c>
    </row>
    <row r="258" spans="1:5" ht="14.25">
      <c r="A258" s="1298" t="s">
        <v>2371</v>
      </c>
      <c r="B258" s="1298">
        <v>134.11940000000001</v>
      </c>
      <c r="C258" s="1298">
        <v>134.75890000000001</v>
      </c>
      <c r="D258" s="1349">
        <v>0.99525448782974635</v>
      </c>
      <c r="E258" s="1178">
        <f t="shared" si="3"/>
        <v>3</v>
      </c>
    </row>
    <row r="259" spans="1:5" ht="14.25">
      <c r="A259" s="1298" t="s">
        <v>2255</v>
      </c>
      <c r="B259" s="1298">
        <v>19.770900000000001</v>
      </c>
      <c r="C259" s="1298">
        <v>19.770900000000001</v>
      </c>
      <c r="D259" s="1349">
        <v>1</v>
      </c>
      <c r="E259" s="1178">
        <f t="shared" ref="E259:E322" si="4">IF(D259&gt;0.9,3,IF(D259&gt;0.8,1.5,0))</f>
        <v>3</v>
      </c>
    </row>
    <row r="260" spans="1:5" ht="14.25">
      <c r="A260" s="1298" t="s">
        <v>2370</v>
      </c>
      <c r="B260" s="1298">
        <v>1.4924999999999999</v>
      </c>
      <c r="C260" s="1298">
        <v>1.4924999999999999</v>
      </c>
      <c r="D260" s="1349">
        <v>1</v>
      </c>
      <c r="E260" s="1178">
        <f t="shared" si="4"/>
        <v>3</v>
      </c>
    </row>
    <row r="261" spans="1:5" ht="14.25">
      <c r="A261" s="1298" t="s">
        <v>2371</v>
      </c>
      <c r="B261" s="1298">
        <v>21.263400000000001</v>
      </c>
      <c r="C261" s="1298">
        <v>21.263400000000001</v>
      </c>
      <c r="D261" s="1349">
        <v>1</v>
      </c>
      <c r="E261" s="1178">
        <f t="shared" si="4"/>
        <v>3</v>
      </c>
    </row>
    <row r="262" spans="1:5" ht="14.25">
      <c r="A262" s="1298" t="s">
        <v>2255</v>
      </c>
      <c r="B262" s="1298">
        <v>88.706599999999995</v>
      </c>
      <c r="C262" s="1298">
        <v>89.736099999999993</v>
      </c>
      <c r="D262" s="1349">
        <v>0.98852747110694583</v>
      </c>
      <c r="E262" s="1178">
        <f t="shared" si="4"/>
        <v>3</v>
      </c>
    </row>
    <row r="263" spans="1:5" ht="14.25">
      <c r="A263" s="1298" t="s">
        <v>2370</v>
      </c>
      <c r="B263" s="1298">
        <v>0.1888</v>
      </c>
      <c r="C263" s="1298">
        <v>0.1888</v>
      </c>
      <c r="D263" s="1349">
        <v>1</v>
      </c>
      <c r="E263" s="1178">
        <f t="shared" si="4"/>
        <v>3</v>
      </c>
    </row>
    <row r="264" spans="1:5" ht="14.25">
      <c r="A264" s="1298" t="s">
        <v>2371</v>
      </c>
      <c r="B264" s="1298">
        <v>88.895399999999995</v>
      </c>
      <c r="C264" s="1298">
        <v>89.924899999999994</v>
      </c>
      <c r="D264" s="1349">
        <v>0.98855155802230532</v>
      </c>
      <c r="E264" s="1178">
        <f t="shared" si="4"/>
        <v>3</v>
      </c>
    </row>
    <row r="265" spans="1:5" ht="14.25">
      <c r="A265" s="1298" t="s">
        <v>2255</v>
      </c>
      <c r="B265" s="1298">
        <v>153.4736</v>
      </c>
      <c r="C265" s="1298">
        <v>157.8897</v>
      </c>
      <c r="D265" s="1349">
        <v>0.97203047443880131</v>
      </c>
      <c r="E265" s="1178">
        <f t="shared" si="4"/>
        <v>3</v>
      </c>
    </row>
    <row r="266" spans="1:5" ht="14.25">
      <c r="A266" s="1298" t="s">
        <v>2370</v>
      </c>
      <c r="B266" s="1298">
        <v>4</v>
      </c>
      <c r="C266" s="1298">
        <v>4</v>
      </c>
      <c r="D266" s="1349">
        <v>1</v>
      </c>
      <c r="E266" s="1178">
        <f t="shared" si="4"/>
        <v>3</v>
      </c>
    </row>
    <row r="267" spans="1:5" ht="14.25">
      <c r="A267" s="1298" t="s">
        <v>2371</v>
      </c>
      <c r="B267" s="1298">
        <v>157.4736</v>
      </c>
      <c r="C267" s="1298">
        <v>161.8897</v>
      </c>
      <c r="D267" s="1349">
        <v>0.97272155053718679</v>
      </c>
      <c r="E267" s="1178">
        <f t="shared" si="4"/>
        <v>3</v>
      </c>
    </row>
    <row r="268" spans="1:5" ht="14.25">
      <c r="A268" s="1298" t="s">
        <v>2255</v>
      </c>
      <c r="B268" s="1298">
        <v>4.7428999999999997</v>
      </c>
      <c r="C268" s="1298">
        <v>4.7428999999999997</v>
      </c>
      <c r="D268" s="1349">
        <v>1</v>
      </c>
      <c r="E268" s="1178">
        <f t="shared" si="4"/>
        <v>3</v>
      </c>
    </row>
    <row r="269" spans="1:5" ht="14.25">
      <c r="A269" s="1298" t="s">
        <v>2371</v>
      </c>
      <c r="B269" s="1298">
        <v>4.7428999999999997</v>
      </c>
      <c r="C269" s="1298">
        <v>4.7428999999999997</v>
      </c>
      <c r="D269" s="1349">
        <v>1</v>
      </c>
      <c r="E269" s="1178">
        <f t="shared" si="4"/>
        <v>3</v>
      </c>
    </row>
    <row r="270" spans="1:5" ht="14.25">
      <c r="A270" s="1298" t="s">
        <v>2255</v>
      </c>
      <c r="B270" s="1298">
        <v>1017.8614</v>
      </c>
      <c r="C270" s="1298">
        <v>1033.0154</v>
      </c>
      <c r="D270" s="1349">
        <v>0.9853303251819866</v>
      </c>
      <c r="E270" s="1178">
        <f t="shared" si="4"/>
        <v>3</v>
      </c>
    </row>
    <row r="271" spans="1:5" ht="14.25">
      <c r="A271" s="1298" t="s">
        <v>2258</v>
      </c>
      <c r="B271" s="1298">
        <v>63.825499999999998</v>
      </c>
      <c r="C271" s="1298">
        <v>64.912700000000001</v>
      </c>
      <c r="D271" s="1349">
        <v>0.98325135143045972</v>
      </c>
      <c r="E271" s="1178">
        <f t="shared" si="4"/>
        <v>3</v>
      </c>
    </row>
    <row r="272" spans="1:5" ht="14.25">
      <c r="A272" s="1298" t="s">
        <v>2257</v>
      </c>
      <c r="B272" s="1298">
        <v>5.7854000000000001</v>
      </c>
      <c r="C272" s="1298">
        <v>6.0442</v>
      </c>
      <c r="D272" s="1349">
        <v>0.9571820919228351</v>
      </c>
      <c r="E272" s="1178">
        <f t="shared" si="4"/>
        <v>3</v>
      </c>
    </row>
    <row r="273" spans="1:5" ht="14.25">
      <c r="A273" s="1298" t="s">
        <v>2370</v>
      </c>
      <c r="B273" s="1298">
        <v>62.017899999999997</v>
      </c>
      <c r="C273" s="1298">
        <v>62.227800000000002</v>
      </c>
      <c r="D273" s="1349">
        <v>0.99662690951632549</v>
      </c>
      <c r="E273" s="1178">
        <f t="shared" si="4"/>
        <v>3</v>
      </c>
    </row>
    <row r="274" spans="1:5" ht="14.25">
      <c r="A274" s="1298" t="s">
        <v>2371</v>
      </c>
      <c r="B274" s="1298">
        <v>1149.4902</v>
      </c>
      <c r="C274" s="1298">
        <v>1166.2001</v>
      </c>
      <c r="D274" s="1349">
        <v>0.98567149839894541</v>
      </c>
      <c r="E274" s="1178">
        <f t="shared" si="4"/>
        <v>3</v>
      </c>
    </row>
    <row r="275" spans="1:5" ht="14.25">
      <c r="A275" s="1298" t="s">
        <v>2255</v>
      </c>
      <c r="B275" s="1298">
        <v>94.043800000000005</v>
      </c>
      <c r="C275" s="1298">
        <v>95.882199999999997</v>
      </c>
      <c r="D275" s="1349">
        <v>0.98082647248394383</v>
      </c>
      <c r="E275" s="1178">
        <f t="shared" si="4"/>
        <v>3</v>
      </c>
    </row>
    <row r="276" spans="1:5" ht="14.25">
      <c r="A276" s="1298" t="s">
        <v>2257</v>
      </c>
      <c r="B276" s="1298">
        <v>41.538400000000003</v>
      </c>
      <c r="C276" s="1298">
        <v>42.093800000000002</v>
      </c>
      <c r="D276" s="1349">
        <v>0.98680565784034702</v>
      </c>
      <c r="E276" s="1178">
        <f t="shared" si="4"/>
        <v>3</v>
      </c>
    </row>
    <row r="277" spans="1:5" ht="14.25">
      <c r="A277" s="1298" t="s">
        <v>2371</v>
      </c>
      <c r="B277" s="1298">
        <v>135.5822</v>
      </c>
      <c r="C277" s="1298">
        <v>137.976</v>
      </c>
      <c r="D277" s="1349">
        <v>0.98265060590247577</v>
      </c>
      <c r="E277" s="1178">
        <f t="shared" si="4"/>
        <v>3</v>
      </c>
    </row>
    <row r="278" spans="1:5" ht="14.25">
      <c r="A278" s="1298" t="s">
        <v>2255</v>
      </c>
      <c r="B278" s="1298">
        <v>37.761299999999999</v>
      </c>
      <c r="C278" s="1298">
        <v>38.823500000000003</v>
      </c>
      <c r="D278" s="1349">
        <v>0.97264028230324417</v>
      </c>
      <c r="E278" s="1178">
        <f t="shared" si="4"/>
        <v>3</v>
      </c>
    </row>
    <row r="279" spans="1:5" ht="14.25">
      <c r="A279" s="1298" t="s">
        <v>2370</v>
      </c>
      <c r="B279" s="1298">
        <v>0.10580000000000001</v>
      </c>
      <c r="C279" s="1298">
        <v>0.10580000000000001</v>
      </c>
      <c r="D279" s="1349">
        <v>1</v>
      </c>
      <c r="E279" s="1178">
        <f t="shared" si="4"/>
        <v>3</v>
      </c>
    </row>
    <row r="280" spans="1:5" ht="14.25">
      <c r="A280" s="1298" t="s">
        <v>2371</v>
      </c>
      <c r="B280" s="1298">
        <v>37.867100000000001</v>
      </c>
      <c r="C280" s="1298">
        <v>38.929299999999998</v>
      </c>
      <c r="D280" s="1349">
        <v>0.97271463910216727</v>
      </c>
      <c r="E280" s="1178">
        <f t="shared" si="4"/>
        <v>3</v>
      </c>
    </row>
    <row r="281" spans="1:5" ht="14.25">
      <c r="A281" s="1298" t="s">
        <v>2255</v>
      </c>
      <c r="B281" s="1298">
        <v>59.975900000000003</v>
      </c>
      <c r="C281" s="1298">
        <v>62.860500000000002</v>
      </c>
      <c r="D281" s="1349">
        <v>0.95411108724874927</v>
      </c>
      <c r="E281" s="1178">
        <f t="shared" si="4"/>
        <v>3</v>
      </c>
    </row>
    <row r="282" spans="1:5" ht="14.25">
      <c r="A282" s="1298" t="s">
        <v>2371</v>
      </c>
      <c r="B282" s="1298">
        <v>59.975900000000003</v>
      </c>
      <c r="C282" s="1298">
        <v>62.860500000000002</v>
      </c>
      <c r="D282" s="1349">
        <v>0.95411108724874927</v>
      </c>
      <c r="E282" s="1178">
        <f t="shared" si="4"/>
        <v>3</v>
      </c>
    </row>
    <row r="283" spans="1:5" ht="14.25">
      <c r="A283" s="1298" t="s">
        <v>2255</v>
      </c>
      <c r="B283" s="1298">
        <v>191.78100000000001</v>
      </c>
      <c r="C283" s="1298">
        <v>197.56620000000001</v>
      </c>
      <c r="D283" s="1349">
        <v>0.97071766324401643</v>
      </c>
      <c r="E283" s="1178">
        <f t="shared" si="4"/>
        <v>3</v>
      </c>
    </row>
    <row r="284" spans="1:5" ht="14.25">
      <c r="A284" s="1298" t="s">
        <v>2257</v>
      </c>
      <c r="B284" s="1298">
        <v>41.538400000000003</v>
      </c>
      <c r="C284" s="1298">
        <v>42.093800000000002</v>
      </c>
      <c r="D284" s="1349">
        <v>0.98680565784034702</v>
      </c>
      <c r="E284" s="1178">
        <f t="shared" si="4"/>
        <v>3</v>
      </c>
    </row>
    <row r="285" spans="1:5" ht="14.25">
      <c r="A285" s="1298" t="s">
        <v>2370</v>
      </c>
      <c r="B285" s="1298">
        <v>0.10580000000000001</v>
      </c>
      <c r="C285" s="1298">
        <v>0.10580000000000001</v>
      </c>
      <c r="D285" s="1349">
        <v>1</v>
      </c>
      <c r="E285" s="1178">
        <f t="shared" si="4"/>
        <v>3</v>
      </c>
    </row>
    <row r="286" spans="1:5" ht="14.25">
      <c r="A286" s="1298" t="s">
        <v>2371</v>
      </c>
      <c r="B286" s="1298">
        <v>233.42519999999999</v>
      </c>
      <c r="C286" s="1298">
        <v>239.76580000000001</v>
      </c>
      <c r="D286" s="1349">
        <v>0.97355502744761768</v>
      </c>
      <c r="E286" s="1178">
        <f t="shared" si="4"/>
        <v>3</v>
      </c>
    </row>
    <row r="287" spans="1:5" ht="14.25">
      <c r="A287" s="1298" t="s">
        <v>2255</v>
      </c>
      <c r="B287" s="1298">
        <v>214.72389999999999</v>
      </c>
      <c r="C287" s="1298">
        <v>219.80090000000001</v>
      </c>
      <c r="D287" s="1349">
        <v>0.97690182342292498</v>
      </c>
      <c r="E287" s="1178">
        <f t="shared" si="4"/>
        <v>3</v>
      </c>
    </row>
    <row r="288" spans="1:5" ht="14.25">
      <c r="A288" s="1298" t="s">
        <v>2257</v>
      </c>
      <c r="B288" s="1298">
        <v>231.06460000000001</v>
      </c>
      <c r="C288" s="1298">
        <v>237.44220000000001</v>
      </c>
      <c r="D288" s="1349">
        <v>0.97314041059255685</v>
      </c>
      <c r="E288" s="1178">
        <f t="shared" si="4"/>
        <v>3</v>
      </c>
    </row>
    <row r="289" spans="1:5" ht="14.25">
      <c r="A289" s="1298" t="s">
        <v>2370</v>
      </c>
      <c r="B289" s="1298">
        <v>4.4390999999999998</v>
      </c>
      <c r="C289" s="1298">
        <v>4.4843999999999999</v>
      </c>
      <c r="D289" s="1349">
        <v>0.98989831415573992</v>
      </c>
      <c r="E289" s="1178">
        <f t="shared" si="4"/>
        <v>3</v>
      </c>
    </row>
    <row r="290" spans="1:5" ht="14.25">
      <c r="A290" s="1298" t="s">
        <v>2371</v>
      </c>
      <c r="B290" s="1298">
        <v>450.2276</v>
      </c>
      <c r="C290" s="1298">
        <v>461.72750000000002</v>
      </c>
      <c r="D290" s="1349">
        <v>0.97509375118441077</v>
      </c>
      <c r="E290" s="1178">
        <f t="shared" si="4"/>
        <v>3</v>
      </c>
    </row>
    <row r="291" spans="1:5" ht="14.25">
      <c r="A291" s="1298" t="s">
        <v>2255</v>
      </c>
      <c r="B291" s="1298">
        <v>54.973599999999998</v>
      </c>
      <c r="C291" s="1298">
        <v>56.972700000000003</v>
      </c>
      <c r="D291" s="1349">
        <v>0.9649112645179182</v>
      </c>
      <c r="E291" s="1178">
        <f t="shared" si="4"/>
        <v>3</v>
      </c>
    </row>
    <row r="292" spans="1:5" ht="14.25">
      <c r="A292" s="1298" t="s">
        <v>2257</v>
      </c>
      <c r="B292" s="1298">
        <v>77.247399999999999</v>
      </c>
      <c r="C292" s="1298">
        <v>80.347200000000001</v>
      </c>
      <c r="D292" s="1349">
        <v>0.96141993747137422</v>
      </c>
      <c r="E292" s="1178">
        <f t="shared" si="4"/>
        <v>3</v>
      </c>
    </row>
    <row r="293" spans="1:5" ht="14.25">
      <c r="A293" s="1298" t="s">
        <v>2370</v>
      </c>
      <c r="B293" s="1298">
        <v>4.1254999999999997</v>
      </c>
      <c r="C293" s="1298">
        <v>4.1254999999999997</v>
      </c>
      <c r="D293" s="1349">
        <v>1</v>
      </c>
      <c r="E293" s="1178">
        <f t="shared" si="4"/>
        <v>3</v>
      </c>
    </row>
    <row r="294" spans="1:5" ht="14.25">
      <c r="A294" s="1298" t="s">
        <v>2371</v>
      </c>
      <c r="B294" s="1298">
        <v>136.34649999999999</v>
      </c>
      <c r="C294" s="1298">
        <v>141.44540000000001</v>
      </c>
      <c r="D294" s="1349">
        <v>0.96395146112917074</v>
      </c>
      <c r="E294" s="1178">
        <f t="shared" si="4"/>
        <v>3</v>
      </c>
    </row>
    <row r="295" spans="1:5" ht="14.25">
      <c r="A295" s="1298" t="s">
        <v>2255</v>
      </c>
      <c r="B295" s="1298">
        <v>38.264400000000002</v>
      </c>
      <c r="C295" s="1298">
        <v>38.718699999999998</v>
      </c>
      <c r="D295" s="1349">
        <v>0.98826665151464277</v>
      </c>
      <c r="E295" s="1178">
        <f t="shared" si="4"/>
        <v>3</v>
      </c>
    </row>
    <row r="296" spans="1:5" ht="14.25">
      <c r="A296" s="1298" t="s">
        <v>2371</v>
      </c>
      <c r="B296" s="1298">
        <v>38.264400000000002</v>
      </c>
      <c r="C296" s="1298">
        <v>38.718699999999998</v>
      </c>
      <c r="D296" s="1349">
        <v>0.98826665151464277</v>
      </c>
      <c r="E296" s="1178">
        <f t="shared" si="4"/>
        <v>3</v>
      </c>
    </row>
    <row r="297" spans="1:5" ht="14.25">
      <c r="A297" s="1298" t="s">
        <v>2255</v>
      </c>
      <c r="B297" s="1298">
        <v>115.42749999999999</v>
      </c>
      <c r="C297" s="1298">
        <v>116.699</v>
      </c>
      <c r="D297" s="1349">
        <v>0.98910444819578569</v>
      </c>
      <c r="E297" s="1178">
        <f t="shared" si="4"/>
        <v>3</v>
      </c>
    </row>
    <row r="298" spans="1:5" ht="14.25">
      <c r="A298" s="1298" t="s">
        <v>2371</v>
      </c>
      <c r="B298" s="1298">
        <v>115.42749999999999</v>
      </c>
      <c r="C298" s="1298">
        <v>116.699</v>
      </c>
      <c r="D298" s="1349">
        <v>0.98910444819578569</v>
      </c>
      <c r="E298" s="1178">
        <f t="shared" si="4"/>
        <v>3</v>
      </c>
    </row>
    <row r="299" spans="1:5" ht="14.25">
      <c r="A299" s="1298" t="s">
        <v>2255</v>
      </c>
      <c r="B299" s="1298">
        <v>15.613799999999999</v>
      </c>
      <c r="C299" s="1298">
        <v>15.614000000000001</v>
      </c>
      <c r="D299" s="1349">
        <v>0.9999871909824517</v>
      </c>
      <c r="E299" s="1178">
        <f t="shared" si="4"/>
        <v>3</v>
      </c>
    </row>
    <row r="300" spans="1:5" ht="14.25">
      <c r="A300" s="1298" t="s">
        <v>2371</v>
      </c>
      <c r="B300" s="1298">
        <v>15.613799999999999</v>
      </c>
      <c r="C300" s="1298">
        <v>15.614000000000001</v>
      </c>
      <c r="D300" s="1349">
        <v>0.9999871909824517</v>
      </c>
      <c r="E300" s="1178">
        <f t="shared" si="4"/>
        <v>3</v>
      </c>
    </row>
    <row r="301" spans="1:5" ht="14.25">
      <c r="A301" s="1298" t="s">
        <v>2255</v>
      </c>
      <c r="B301" s="1298">
        <v>439.00319999999999</v>
      </c>
      <c r="C301" s="1298">
        <v>447.80529999999999</v>
      </c>
      <c r="D301" s="1349">
        <v>0.98034391285677058</v>
      </c>
      <c r="E301" s="1178">
        <f t="shared" si="4"/>
        <v>3</v>
      </c>
    </row>
    <row r="302" spans="1:5" ht="14.25">
      <c r="A302" s="1298" t="s">
        <v>2257</v>
      </c>
      <c r="B302" s="1298">
        <v>308.31200000000001</v>
      </c>
      <c r="C302" s="1298">
        <v>317.7894</v>
      </c>
      <c r="D302" s="1349">
        <v>0.97017710471148499</v>
      </c>
      <c r="E302" s="1178">
        <f t="shared" si="4"/>
        <v>3</v>
      </c>
    </row>
    <row r="303" spans="1:5" ht="14.25">
      <c r="A303" s="1298" t="s">
        <v>2370</v>
      </c>
      <c r="B303" s="1298">
        <v>8.5646000000000004</v>
      </c>
      <c r="C303" s="1298">
        <v>8.6098999999999997</v>
      </c>
      <c r="D303" s="1349">
        <v>0.99473861485034665</v>
      </c>
      <c r="E303" s="1178">
        <f t="shared" si="4"/>
        <v>3</v>
      </c>
    </row>
    <row r="304" spans="1:5" ht="14.25">
      <c r="A304" s="1298" t="s">
        <v>2371</v>
      </c>
      <c r="B304" s="1298">
        <v>755.87980000000005</v>
      </c>
      <c r="C304" s="1298">
        <v>774.20460000000003</v>
      </c>
      <c r="D304" s="1349">
        <v>0.97633080454443177</v>
      </c>
      <c r="E304" s="1178">
        <f t="shared" si="4"/>
        <v>3</v>
      </c>
    </row>
    <row r="305" spans="1:5" ht="14.25">
      <c r="A305" s="1298" t="s">
        <v>2255</v>
      </c>
      <c r="B305" s="1298">
        <v>128.3647</v>
      </c>
      <c r="C305" s="1298">
        <v>135.73609999999999</v>
      </c>
      <c r="D305" s="1349">
        <v>0.94569315016417888</v>
      </c>
      <c r="E305" s="1178">
        <f t="shared" si="4"/>
        <v>3</v>
      </c>
    </row>
    <row r="306" spans="1:5" ht="14.25">
      <c r="A306" s="1298" t="s">
        <v>2257</v>
      </c>
      <c r="B306" s="1298">
        <v>90.131299999999996</v>
      </c>
      <c r="C306" s="1298">
        <v>91.151300000000006</v>
      </c>
      <c r="D306" s="1349">
        <v>0.98880981401252643</v>
      </c>
      <c r="E306" s="1178">
        <f t="shared" si="4"/>
        <v>3</v>
      </c>
    </row>
    <row r="307" spans="1:5" ht="14.25">
      <c r="A307" s="1298" t="s">
        <v>2370</v>
      </c>
      <c r="B307" s="1298">
        <v>1.212</v>
      </c>
      <c r="C307" s="1298">
        <v>1.202</v>
      </c>
      <c r="D307" s="1349">
        <v>1</v>
      </c>
      <c r="E307" s="1178">
        <f t="shared" si="4"/>
        <v>3</v>
      </c>
    </row>
    <row r="308" spans="1:5" ht="14.25">
      <c r="A308" s="1298" t="s">
        <v>2371</v>
      </c>
      <c r="B308" s="1298">
        <v>219.708</v>
      </c>
      <c r="C308" s="1298">
        <v>228.08940000000001</v>
      </c>
      <c r="D308" s="1349">
        <v>0.96325388203046702</v>
      </c>
      <c r="E308" s="1178">
        <f t="shared" si="4"/>
        <v>3</v>
      </c>
    </row>
    <row r="309" spans="1:5" ht="14.25">
      <c r="A309" s="1298" t="s">
        <v>2255</v>
      </c>
      <c r="B309" s="1298">
        <v>81.898700000000005</v>
      </c>
      <c r="C309" s="1298">
        <v>81.96</v>
      </c>
      <c r="D309" s="1349">
        <v>0.99925207418252804</v>
      </c>
      <c r="E309" s="1178">
        <f t="shared" si="4"/>
        <v>3</v>
      </c>
    </row>
    <row r="310" spans="1:5" ht="14.25">
      <c r="A310" s="1298" t="s">
        <v>2371</v>
      </c>
      <c r="B310" s="1298">
        <v>81.898700000000005</v>
      </c>
      <c r="C310" s="1298">
        <v>81.96</v>
      </c>
      <c r="D310" s="1349">
        <v>0.99925207418252804</v>
      </c>
      <c r="E310" s="1178">
        <f t="shared" si="4"/>
        <v>3</v>
      </c>
    </row>
    <row r="311" spans="1:5" ht="14.25">
      <c r="A311" s="1298" t="s">
        <v>2255</v>
      </c>
      <c r="B311" s="1298">
        <v>101.7727</v>
      </c>
      <c r="C311" s="1298">
        <v>104.76439999999999</v>
      </c>
      <c r="D311" s="1349">
        <v>0.97144354379922948</v>
      </c>
      <c r="E311" s="1178">
        <f t="shared" si="4"/>
        <v>3</v>
      </c>
    </row>
    <row r="312" spans="1:5" ht="14.25">
      <c r="A312" s="1298" t="s">
        <v>2257</v>
      </c>
      <c r="B312" s="1298">
        <v>0.76400000000000001</v>
      </c>
      <c r="C312" s="1298">
        <v>0.95530000000000004</v>
      </c>
      <c r="D312" s="1349">
        <v>0.79974877001988909</v>
      </c>
      <c r="E312" s="1178">
        <f t="shared" si="4"/>
        <v>0</v>
      </c>
    </row>
    <row r="313" spans="1:5" ht="14.25">
      <c r="A313" s="1298" t="s">
        <v>2371</v>
      </c>
      <c r="B313" s="1298">
        <v>102.5367</v>
      </c>
      <c r="C313" s="1298">
        <v>105.7197</v>
      </c>
      <c r="D313" s="1349">
        <v>0.96989208255415027</v>
      </c>
      <c r="E313" s="1178">
        <f t="shared" si="4"/>
        <v>3</v>
      </c>
    </row>
    <row r="314" spans="1:5" ht="14.25">
      <c r="A314" s="1298" t="s">
        <v>2255</v>
      </c>
      <c r="B314" s="1298">
        <v>183.67140000000001</v>
      </c>
      <c r="C314" s="1298">
        <v>186.7244</v>
      </c>
      <c r="D314" s="1349">
        <v>0.9836496997714278</v>
      </c>
      <c r="E314" s="1178">
        <f t="shared" si="4"/>
        <v>3</v>
      </c>
    </row>
    <row r="315" spans="1:5" ht="14.25">
      <c r="A315" s="1298" t="s">
        <v>2257</v>
      </c>
      <c r="B315" s="1298">
        <v>0.76400000000000001</v>
      </c>
      <c r="C315" s="1298">
        <v>0.95530000000000004</v>
      </c>
      <c r="D315" s="1349">
        <v>0.79974877001988909</v>
      </c>
      <c r="E315" s="1178">
        <f t="shared" si="4"/>
        <v>0</v>
      </c>
    </row>
    <row r="316" spans="1:5" ht="14.25">
      <c r="A316" s="1298" t="s">
        <v>2371</v>
      </c>
      <c r="B316" s="1298">
        <v>184.43539999999999</v>
      </c>
      <c r="C316" s="1298">
        <v>187.6797</v>
      </c>
      <c r="D316" s="1349">
        <v>0.98271363391991784</v>
      </c>
      <c r="E316" s="1178">
        <f t="shared" si="4"/>
        <v>3</v>
      </c>
    </row>
    <row r="317" spans="1:5" ht="14.25">
      <c r="A317" s="1298" t="s">
        <v>2255</v>
      </c>
      <c r="B317" s="1298">
        <v>4727.4439000000002</v>
      </c>
      <c r="C317" s="1298">
        <v>4822.2206999999999</v>
      </c>
      <c r="D317" s="1349">
        <v>0.98034581868059256</v>
      </c>
      <c r="E317" s="1178">
        <f t="shared" si="4"/>
        <v>3</v>
      </c>
    </row>
    <row r="318" spans="1:5" ht="14.25">
      <c r="A318" s="1298" t="s">
        <v>2258</v>
      </c>
      <c r="B318" s="1298">
        <v>149.84970000000001</v>
      </c>
      <c r="C318" s="1298">
        <v>153.53870000000001</v>
      </c>
      <c r="D318" s="1349">
        <v>0.97597348420951846</v>
      </c>
      <c r="E318" s="1178">
        <f t="shared" si="4"/>
        <v>3</v>
      </c>
    </row>
    <row r="319" spans="1:5" ht="14.25">
      <c r="A319" s="1298" t="s">
        <v>2257</v>
      </c>
      <c r="B319" s="1298">
        <v>770.50599999999997</v>
      </c>
      <c r="C319" s="1298">
        <v>784.38649999999996</v>
      </c>
      <c r="D319" s="1349">
        <v>0.98230400446718547</v>
      </c>
      <c r="E319" s="1178">
        <f t="shared" si="4"/>
        <v>3</v>
      </c>
    </row>
    <row r="320" spans="1:5" ht="14.25">
      <c r="A320" s="1298" t="s">
        <v>2370</v>
      </c>
      <c r="B320" s="1298">
        <v>192.8749</v>
      </c>
      <c r="C320" s="1298">
        <v>193.3099</v>
      </c>
      <c r="D320" s="1349">
        <v>0.99774972725142375</v>
      </c>
      <c r="E320" s="1178">
        <f t="shared" si="4"/>
        <v>3</v>
      </c>
    </row>
    <row r="321" spans="1:5" ht="14.25">
      <c r="A321" s="1298" t="s">
        <v>2371</v>
      </c>
      <c r="B321" s="1298">
        <v>5840.6745000000001</v>
      </c>
      <c r="C321" s="1298">
        <v>5953.4557999999997</v>
      </c>
      <c r="D321" s="1349">
        <v>0.98105616237211335</v>
      </c>
      <c r="E321" s="1178">
        <f t="shared" si="4"/>
        <v>3</v>
      </c>
    </row>
    <row r="322" spans="1:5" ht="14.25">
      <c r="A322" s="1298" t="s">
        <v>2255</v>
      </c>
      <c r="B322" s="1298">
        <v>242.42250000000001</v>
      </c>
      <c r="C322" s="1298">
        <v>247.62110000000001</v>
      </c>
      <c r="D322" s="1349">
        <v>0.97900582785554224</v>
      </c>
      <c r="E322" s="1178">
        <f t="shared" si="4"/>
        <v>3</v>
      </c>
    </row>
    <row r="323" spans="1:5" ht="14.25">
      <c r="A323" s="1298" t="s">
        <v>2258</v>
      </c>
      <c r="B323" s="1298">
        <v>72.374799999999993</v>
      </c>
      <c r="C323" s="1298">
        <v>72.374799999999993</v>
      </c>
      <c r="D323" s="1349">
        <v>1</v>
      </c>
      <c r="E323" s="1178">
        <f t="shared" ref="E323:E386" si="5">IF(D323&gt;0.9,3,IF(D323&gt;0.8,1.5,0))</f>
        <v>3</v>
      </c>
    </row>
    <row r="324" spans="1:5" ht="14.25">
      <c r="A324" s="1298" t="s">
        <v>2257</v>
      </c>
      <c r="B324" s="1298">
        <v>66.288799999999995</v>
      </c>
      <c r="C324" s="1298">
        <v>66.288799999999995</v>
      </c>
      <c r="D324" s="1349">
        <v>1</v>
      </c>
      <c r="E324" s="1178">
        <f t="shared" si="5"/>
        <v>3</v>
      </c>
    </row>
    <row r="325" spans="1:5" ht="14.25">
      <c r="A325" s="1298" t="s">
        <v>2370</v>
      </c>
      <c r="B325" s="1298">
        <v>1.5347</v>
      </c>
      <c r="C325" s="1298">
        <v>1.5357000000000001</v>
      </c>
      <c r="D325" s="1349">
        <v>0.99934883115191764</v>
      </c>
      <c r="E325" s="1178">
        <f t="shared" si="5"/>
        <v>3</v>
      </c>
    </row>
    <row r="326" spans="1:5" ht="14.25">
      <c r="A326" s="1298" t="s">
        <v>2371</v>
      </c>
      <c r="B326" s="1298">
        <v>382.62079999999997</v>
      </c>
      <c r="C326" s="1298">
        <v>387.82040000000001</v>
      </c>
      <c r="D326" s="1349">
        <v>0.98659276304186161</v>
      </c>
      <c r="E326" s="1178">
        <f t="shared" si="5"/>
        <v>3</v>
      </c>
    </row>
    <row r="327" spans="1:5" ht="14.25">
      <c r="A327" s="1298" t="s">
        <v>2255</v>
      </c>
      <c r="B327" s="1298">
        <v>781.30179999999996</v>
      </c>
      <c r="C327" s="1298">
        <v>812.17639999999994</v>
      </c>
      <c r="D327" s="1349">
        <v>0.96198535195063539</v>
      </c>
      <c r="E327" s="1178">
        <f t="shared" si="5"/>
        <v>3</v>
      </c>
    </row>
    <row r="328" spans="1:5" ht="14.25">
      <c r="A328" s="1298" t="s">
        <v>2258</v>
      </c>
      <c r="B328" s="1298">
        <v>23.668399999999998</v>
      </c>
      <c r="C328" s="1298">
        <v>23.918399999999998</v>
      </c>
      <c r="D328" s="1349">
        <v>0.98954779583918662</v>
      </c>
      <c r="E328" s="1178">
        <f t="shared" si="5"/>
        <v>3</v>
      </c>
    </row>
    <row r="329" spans="1:5" ht="14.25">
      <c r="A329" s="1298" t="s">
        <v>2257</v>
      </c>
      <c r="B329" s="1298">
        <v>127.96380000000001</v>
      </c>
      <c r="C329" s="1298">
        <v>134.58940000000001</v>
      </c>
      <c r="D329" s="1349">
        <v>0.95077175468499009</v>
      </c>
      <c r="E329" s="1178">
        <f t="shared" si="5"/>
        <v>3</v>
      </c>
    </row>
    <row r="330" spans="1:5" ht="14.25">
      <c r="A330" s="1298" t="s">
        <v>2370</v>
      </c>
      <c r="B330" s="1298">
        <v>0.75700000000000001</v>
      </c>
      <c r="C330" s="1298">
        <v>0.75700000000000001</v>
      </c>
      <c r="D330" s="1349">
        <v>1</v>
      </c>
      <c r="E330" s="1178">
        <f t="shared" si="5"/>
        <v>3</v>
      </c>
    </row>
    <row r="331" spans="1:5" ht="14.25">
      <c r="A331" s="1298" t="s">
        <v>2371</v>
      </c>
      <c r="B331" s="1298">
        <v>933.69100000000003</v>
      </c>
      <c r="C331" s="1298">
        <v>971.44119999999998</v>
      </c>
      <c r="D331" s="1349">
        <v>0.9611400051799327</v>
      </c>
      <c r="E331" s="1178">
        <f t="shared" si="5"/>
        <v>3</v>
      </c>
    </row>
    <row r="332" spans="1:5" ht="14.25">
      <c r="A332" s="1298" t="s">
        <v>2255</v>
      </c>
      <c r="B332" s="1298">
        <v>213.96850000000001</v>
      </c>
      <c r="C332" s="1298">
        <v>221.33580000000001</v>
      </c>
      <c r="D332" s="1349">
        <v>0.96671437697832885</v>
      </c>
      <c r="E332" s="1178">
        <f t="shared" si="5"/>
        <v>3</v>
      </c>
    </row>
    <row r="333" spans="1:5" ht="14.25">
      <c r="A333" s="1298" t="s">
        <v>2257</v>
      </c>
      <c r="B333" s="1298">
        <v>60.691499999999998</v>
      </c>
      <c r="C333" s="1298">
        <v>61.691499999999998</v>
      </c>
      <c r="D333" s="1349">
        <v>0.98379031146916507</v>
      </c>
      <c r="E333" s="1178">
        <f t="shared" si="5"/>
        <v>3</v>
      </c>
    </row>
    <row r="334" spans="1:5" ht="14.25">
      <c r="A334" s="1298" t="s">
        <v>2370</v>
      </c>
      <c r="B334" s="1298">
        <v>1.8849</v>
      </c>
      <c r="C334" s="1298">
        <v>1.8849</v>
      </c>
      <c r="D334" s="1349">
        <v>1</v>
      </c>
      <c r="E334" s="1178">
        <f t="shared" si="5"/>
        <v>3</v>
      </c>
    </row>
    <row r="335" spans="1:5" ht="14.25">
      <c r="A335" s="1298" t="s">
        <v>2371</v>
      </c>
      <c r="B335" s="1298">
        <v>276.54489999999998</v>
      </c>
      <c r="C335" s="1298">
        <v>284.91219999999998</v>
      </c>
      <c r="D335" s="1349">
        <v>0.97063200522827731</v>
      </c>
      <c r="E335" s="1178">
        <f t="shared" si="5"/>
        <v>3</v>
      </c>
    </row>
    <row r="336" spans="1:5" ht="14.25">
      <c r="A336" s="1298" t="s">
        <v>2255</v>
      </c>
      <c r="B336" s="1298">
        <v>53.045400000000001</v>
      </c>
      <c r="C336" s="1298">
        <v>66.610900000000001</v>
      </c>
      <c r="D336" s="1349">
        <v>0.79634714438627907</v>
      </c>
      <c r="E336" s="1178">
        <f t="shared" si="5"/>
        <v>0</v>
      </c>
    </row>
    <row r="337" spans="1:5" ht="14.25">
      <c r="A337" s="1298" t="s">
        <v>2258</v>
      </c>
      <c r="B337" s="1298">
        <v>55.969299999999997</v>
      </c>
      <c r="C337" s="1298">
        <v>58.529899999999998</v>
      </c>
      <c r="D337" s="1349">
        <v>0.95625142021428367</v>
      </c>
      <c r="E337" s="1178">
        <f t="shared" si="5"/>
        <v>3</v>
      </c>
    </row>
    <row r="338" spans="1:5" ht="14.25">
      <c r="A338" s="1298" t="s">
        <v>2257</v>
      </c>
      <c r="B338" s="1298">
        <v>236.30719999999999</v>
      </c>
      <c r="C338" s="1298">
        <v>236.6738</v>
      </c>
      <c r="D338" s="1349">
        <v>0.99845103260267931</v>
      </c>
      <c r="E338" s="1178">
        <f t="shared" si="5"/>
        <v>3</v>
      </c>
    </row>
    <row r="339" spans="1:5" ht="14.25">
      <c r="A339" s="1298" t="s">
        <v>2370</v>
      </c>
      <c r="B339" s="1298">
        <v>0.81810000000000005</v>
      </c>
      <c r="C339" s="1298">
        <v>0.81859999999999999</v>
      </c>
      <c r="D339" s="1349">
        <v>0.99938920107500606</v>
      </c>
      <c r="E339" s="1178">
        <f t="shared" si="5"/>
        <v>3</v>
      </c>
    </row>
    <row r="340" spans="1:5" ht="14.25">
      <c r="A340" s="1298" t="s">
        <v>2371</v>
      </c>
      <c r="B340" s="1298">
        <v>346.14</v>
      </c>
      <c r="C340" s="1298">
        <v>362.63319999999999</v>
      </c>
      <c r="D340" s="1349">
        <v>0.95451822943955489</v>
      </c>
      <c r="E340" s="1178">
        <f t="shared" si="5"/>
        <v>3</v>
      </c>
    </row>
    <row r="341" spans="1:5" ht="14.25">
      <c r="A341" s="1298" t="s">
        <v>2255</v>
      </c>
      <c r="B341" s="1298">
        <v>170.19569999999999</v>
      </c>
      <c r="C341" s="1298">
        <v>176.57939999999999</v>
      </c>
      <c r="D341" s="1349">
        <v>0.96384799132854682</v>
      </c>
      <c r="E341" s="1178">
        <f t="shared" si="5"/>
        <v>3</v>
      </c>
    </row>
    <row r="342" spans="1:5" ht="14.25">
      <c r="A342" s="1298" t="s">
        <v>2257</v>
      </c>
      <c r="B342" s="1298">
        <v>23.6</v>
      </c>
      <c r="C342" s="1298">
        <v>24.9</v>
      </c>
      <c r="D342" s="1349">
        <v>0.94779116465863456</v>
      </c>
      <c r="E342" s="1178">
        <f t="shared" si="5"/>
        <v>3</v>
      </c>
    </row>
    <row r="343" spans="1:5" ht="14.25">
      <c r="A343" s="1298" t="s">
        <v>2371</v>
      </c>
      <c r="B343" s="1298">
        <v>193.79570000000001</v>
      </c>
      <c r="C343" s="1298">
        <v>201.4794</v>
      </c>
      <c r="D343" s="1349">
        <v>0.96186359498787466</v>
      </c>
      <c r="E343" s="1178">
        <f t="shared" si="5"/>
        <v>3</v>
      </c>
    </row>
    <row r="344" spans="1:5" ht="14.25">
      <c r="A344" s="1298" t="s">
        <v>2255</v>
      </c>
      <c r="B344" s="1298">
        <v>202.15539999999999</v>
      </c>
      <c r="C344" s="1298">
        <v>210.4665</v>
      </c>
      <c r="D344" s="1349">
        <v>0.96051105520355973</v>
      </c>
      <c r="E344" s="1178">
        <f t="shared" si="5"/>
        <v>3</v>
      </c>
    </row>
    <row r="345" spans="1:5" ht="14.25">
      <c r="A345" s="1298" t="s">
        <v>2257</v>
      </c>
      <c r="B345" s="1298">
        <v>37.1</v>
      </c>
      <c r="C345" s="1298">
        <v>38.6</v>
      </c>
      <c r="D345" s="1349">
        <v>0.96113989637305697</v>
      </c>
      <c r="E345" s="1178">
        <f t="shared" si="5"/>
        <v>3</v>
      </c>
    </row>
    <row r="346" spans="1:5" ht="14.25">
      <c r="A346" s="1298" t="s">
        <v>2371</v>
      </c>
      <c r="B346" s="1298">
        <v>239.25540000000001</v>
      </c>
      <c r="C346" s="1298">
        <v>249.06649999999999</v>
      </c>
      <c r="D346" s="1349">
        <v>0.96060851218449694</v>
      </c>
      <c r="E346" s="1178">
        <f t="shared" si="5"/>
        <v>3</v>
      </c>
    </row>
    <row r="347" spans="1:5" ht="14.25">
      <c r="A347" s="1298" t="s">
        <v>2255</v>
      </c>
      <c r="B347" s="1298">
        <v>64.211100000000002</v>
      </c>
      <c r="C347" s="1298">
        <v>68.448099999999997</v>
      </c>
      <c r="D347" s="1349">
        <v>0.93809908529236019</v>
      </c>
      <c r="E347" s="1178">
        <f t="shared" si="5"/>
        <v>3</v>
      </c>
    </row>
    <row r="348" spans="1:5" ht="14.25">
      <c r="A348" s="1298" t="s">
        <v>2257</v>
      </c>
      <c r="B348" s="1298">
        <v>2.4</v>
      </c>
      <c r="C348" s="1298">
        <v>2.4</v>
      </c>
      <c r="D348" s="1349">
        <v>1</v>
      </c>
      <c r="E348" s="1178">
        <f t="shared" si="5"/>
        <v>3</v>
      </c>
    </row>
    <row r="349" spans="1:5" ht="14.25">
      <c r="A349" s="1298" t="s">
        <v>2371</v>
      </c>
      <c r="B349" s="1298">
        <v>66.611099999999993</v>
      </c>
      <c r="C349" s="1298">
        <v>70.848100000000002</v>
      </c>
      <c r="D349" s="1349">
        <v>0.94019599678749322</v>
      </c>
      <c r="E349" s="1178">
        <f t="shared" si="5"/>
        <v>3</v>
      </c>
    </row>
    <row r="350" spans="1:5" ht="14.25">
      <c r="A350" s="1298" t="s">
        <v>2255</v>
      </c>
      <c r="B350" s="1298">
        <v>74.430800000000005</v>
      </c>
      <c r="C350" s="1298">
        <v>75.978899999999996</v>
      </c>
      <c r="D350" s="1349">
        <v>0.97962460630517156</v>
      </c>
      <c r="E350" s="1178">
        <f t="shared" si="5"/>
        <v>3</v>
      </c>
    </row>
    <row r="351" spans="1:5" ht="14.25">
      <c r="A351" s="1298" t="s">
        <v>2257</v>
      </c>
      <c r="B351" s="1298">
        <v>13.9</v>
      </c>
      <c r="C351" s="1298">
        <v>13.9</v>
      </c>
      <c r="D351" s="1349">
        <v>1</v>
      </c>
      <c r="E351" s="1178">
        <f t="shared" si="5"/>
        <v>3</v>
      </c>
    </row>
    <row r="352" spans="1:5" ht="14.25">
      <c r="A352" s="1298" t="s">
        <v>2371</v>
      </c>
      <c r="B352" s="1298">
        <v>88.330799999999996</v>
      </c>
      <c r="C352" s="1298">
        <v>89.878900000000002</v>
      </c>
      <c r="D352" s="1349">
        <v>0.98277571265335917</v>
      </c>
      <c r="E352" s="1178">
        <f t="shared" si="5"/>
        <v>3</v>
      </c>
    </row>
    <row r="353" spans="1:5" ht="14.25">
      <c r="A353" s="1298" t="s">
        <v>2255</v>
      </c>
      <c r="B353" s="1298">
        <v>33.762799999999999</v>
      </c>
      <c r="C353" s="1298">
        <v>34.540900000000001</v>
      </c>
      <c r="D353" s="1349">
        <v>0.97747308263536847</v>
      </c>
      <c r="E353" s="1178">
        <f t="shared" si="5"/>
        <v>3</v>
      </c>
    </row>
    <row r="354" spans="1:5" ht="14.25">
      <c r="A354" s="1298" t="s">
        <v>2257</v>
      </c>
      <c r="B354" s="1298">
        <v>20.3</v>
      </c>
      <c r="C354" s="1298">
        <v>20.6</v>
      </c>
      <c r="D354" s="1349">
        <v>0.9854368932038835</v>
      </c>
      <c r="E354" s="1178">
        <f t="shared" si="5"/>
        <v>3</v>
      </c>
    </row>
    <row r="355" spans="1:5" ht="14.25">
      <c r="A355" s="1298" t="s">
        <v>2370</v>
      </c>
      <c r="B355" s="1298">
        <v>0.77639999999999998</v>
      </c>
      <c r="C355" s="1298">
        <v>0.77639999999999998</v>
      </c>
      <c r="D355" s="1349">
        <v>1</v>
      </c>
      <c r="E355" s="1178">
        <f t="shared" si="5"/>
        <v>3</v>
      </c>
    </row>
    <row r="356" spans="1:5" ht="14.25">
      <c r="A356" s="1298" t="s">
        <v>2371</v>
      </c>
      <c r="B356" s="1298">
        <v>54.839199999999998</v>
      </c>
      <c r="C356" s="1298">
        <v>55.917299999999997</v>
      </c>
      <c r="D356" s="1349">
        <v>0.98071974147535734</v>
      </c>
      <c r="E356" s="1178">
        <f t="shared" si="5"/>
        <v>3</v>
      </c>
    </row>
    <row r="357" spans="1:5" ht="14.25">
      <c r="A357" s="1298" t="s">
        <v>2255</v>
      </c>
      <c r="B357" s="1298">
        <v>22.8629</v>
      </c>
      <c r="C357" s="1298">
        <v>27.554500000000001</v>
      </c>
      <c r="D357" s="1349">
        <v>0.82973380028670451</v>
      </c>
      <c r="E357" s="1178">
        <f t="shared" si="5"/>
        <v>1.5</v>
      </c>
    </row>
    <row r="358" spans="1:5" ht="14.25">
      <c r="A358" s="1298" t="s">
        <v>2257</v>
      </c>
      <c r="B358" s="1298">
        <v>36.799999999999997</v>
      </c>
      <c r="C358" s="1298">
        <v>37.6</v>
      </c>
      <c r="D358" s="1349">
        <v>0.97872340425531912</v>
      </c>
      <c r="E358" s="1178">
        <f t="shared" si="5"/>
        <v>3</v>
      </c>
    </row>
    <row r="359" spans="1:5" ht="14.25">
      <c r="A359" s="1298" t="s">
        <v>2370</v>
      </c>
      <c r="B359" s="1298">
        <v>1.0525</v>
      </c>
      <c r="C359" s="1298">
        <v>1.0525</v>
      </c>
      <c r="D359" s="1349">
        <v>1</v>
      </c>
      <c r="E359" s="1178">
        <f t="shared" si="5"/>
        <v>3</v>
      </c>
    </row>
    <row r="360" spans="1:5" ht="14.25">
      <c r="A360" s="1298" t="s">
        <v>2371</v>
      </c>
      <c r="B360" s="1298">
        <v>60.715400000000002</v>
      </c>
      <c r="C360" s="1298">
        <v>66.206999999999994</v>
      </c>
      <c r="D360" s="1349">
        <v>0.91705408793632093</v>
      </c>
      <c r="E360" s="1178">
        <f t="shared" si="5"/>
        <v>3</v>
      </c>
    </row>
    <row r="361" spans="1:5" ht="14.25">
      <c r="A361" s="1298" t="s">
        <v>2255</v>
      </c>
      <c r="B361" s="1298">
        <v>93.130399999999995</v>
      </c>
      <c r="C361" s="1298">
        <v>93.523600000000002</v>
      </c>
      <c r="D361" s="1349">
        <v>0.99579571359528507</v>
      </c>
      <c r="E361" s="1178">
        <f t="shared" si="5"/>
        <v>3</v>
      </c>
    </row>
    <row r="362" spans="1:5" ht="14.25">
      <c r="A362" s="1298" t="s">
        <v>2371</v>
      </c>
      <c r="B362" s="1298">
        <v>93.130399999999995</v>
      </c>
      <c r="C362" s="1298">
        <v>93.523600000000002</v>
      </c>
      <c r="D362" s="1349">
        <v>0.99579571359528507</v>
      </c>
      <c r="E362" s="1178">
        <f t="shared" si="5"/>
        <v>3</v>
      </c>
    </row>
    <row r="363" spans="1:5" ht="14.25">
      <c r="A363" s="1298" t="s">
        <v>2255</v>
      </c>
      <c r="B363" s="1298">
        <v>40.488599999999998</v>
      </c>
      <c r="C363" s="1298">
        <v>41.100099999999998</v>
      </c>
      <c r="D363" s="1349">
        <v>0.98512169070148248</v>
      </c>
      <c r="E363" s="1178">
        <f t="shared" si="5"/>
        <v>3</v>
      </c>
    </row>
    <row r="364" spans="1:5" ht="14.25">
      <c r="A364" s="1298" t="s">
        <v>2371</v>
      </c>
      <c r="B364" s="1298">
        <v>40.488599999999998</v>
      </c>
      <c r="C364" s="1298">
        <v>41.100099999999998</v>
      </c>
      <c r="D364" s="1349">
        <v>0.98512169070148248</v>
      </c>
      <c r="E364" s="1178">
        <f t="shared" si="5"/>
        <v>3</v>
      </c>
    </row>
    <row r="365" spans="1:5" ht="14.25">
      <c r="A365" s="1298" t="s">
        <v>2255</v>
      </c>
      <c r="B365" s="1298">
        <v>754.28309999999999</v>
      </c>
      <c r="C365" s="1298">
        <v>794.80290000000002</v>
      </c>
      <c r="D365" s="1349">
        <v>0.94901905868738023</v>
      </c>
      <c r="E365" s="1178">
        <f t="shared" si="5"/>
        <v>3</v>
      </c>
    </row>
    <row r="366" spans="1:5" ht="14.25">
      <c r="A366" s="1298" t="s">
        <v>2258</v>
      </c>
      <c r="B366" s="1298">
        <v>55.969299999999997</v>
      </c>
      <c r="C366" s="1298">
        <v>58.529899999999998</v>
      </c>
      <c r="D366" s="1349">
        <v>0.95625142021428367</v>
      </c>
      <c r="E366" s="1178">
        <f t="shared" si="5"/>
        <v>3</v>
      </c>
    </row>
    <row r="367" spans="1:5" ht="14.25">
      <c r="A367" s="1298" t="s">
        <v>2257</v>
      </c>
      <c r="B367" s="1298">
        <v>370.40719999999999</v>
      </c>
      <c r="C367" s="1298">
        <v>374.67380000000003</v>
      </c>
      <c r="D367" s="1349">
        <v>0.988612494388452</v>
      </c>
      <c r="E367" s="1178">
        <f t="shared" si="5"/>
        <v>3</v>
      </c>
    </row>
    <row r="368" spans="1:5" ht="14.25">
      <c r="A368" s="1298" t="s">
        <v>2370</v>
      </c>
      <c r="B368" s="1298">
        <v>2.6469999999999998</v>
      </c>
      <c r="C368" s="1298">
        <v>2.6475</v>
      </c>
      <c r="D368" s="1349">
        <v>0.9998111425873466</v>
      </c>
      <c r="E368" s="1178">
        <f t="shared" si="5"/>
        <v>3</v>
      </c>
    </row>
    <row r="369" spans="1:5" ht="14.25">
      <c r="A369" s="1298" t="s">
        <v>2371</v>
      </c>
      <c r="B369" s="1298">
        <v>1183.3065999999999</v>
      </c>
      <c r="C369" s="1298">
        <v>1230.6541</v>
      </c>
      <c r="D369" s="1349">
        <v>0.96152655729989445</v>
      </c>
      <c r="E369" s="1178">
        <f t="shared" si="5"/>
        <v>3</v>
      </c>
    </row>
    <row r="370" spans="1:5" ht="14.25">
      <c r="A370" s="1298" t="s">
        <v>2255</v>
      </c>
      <c r="B370" s="1298">
        <v>56.306600000000003</v>
      </c>
      <c r="C370" s="1298">
        <v>58.171999999999997</v>
      </c>
      <c r="D370" s="1349">
        <v>0.9679330261981709</v>
      </c>
      <c r="E370" s="1178">
        <f t="shared" si="5"/>
        <v>3</v>
      </c>
    </row>
    <row r="371" spans="1:5" ht="14.25">
      <c r="A371" s="1298" t="s">
        <v>2258</v>
      </c>
      <c r="B371" s="1298">
        <v>305.66419999999999</v>
      </c>
      <c r="C371" s="1298">
        <v>322.20299999999997</v>
      </c>
      <c r="D371" s="1349">
        <v>0.94866962753295281</v>
      </c>
      <c r="E371" s="1178">
        <f t="shared" si="5"/>
        <v>3</v>
      </c>
    </row>
    <row r="372" spans="1:5" ht="14.25">
      <c r="A372" s="1298" t="s">
        <v>2257</v>
      </c>
      <c r="B372" s="1298">
        <v>66.2</v>
      </c>
      <c r="C372" s="1298">
        <v>72.2</v>
      </c>
      <c r="D372" s="1349">
        <v>0.91689750692520777</v>
      </c>
      <c r="E372" s="1178">
        <f t="shared" si="5"/>
        <v>3</v>
      </c>
    </row>
    <row r="373" spans="1:5" ht="14.25">
      <c r="A373" s="1298" t="s">
        <v>2371</v>
      </c>
      <c r="B373" s="1298">
        <v>428.17079999999999</v>
      </c>
      <c r="C373" s="1298">
        <v>452.57499999999999</v>
      </c>
      <c r="D373" s="1349">
        <v>0.94607700381152293</v>
      </c>
      <c r="E373" s="1178">
        <f t="shared" si="5"/>
        <v>3</v>
      </c>
    </row>
    <row r="374" spans="1:5" ht="14.25">
      <c r="A374" s="1298" t="s">
        <v>2255</v>
      </c>
      <c r="B374" s="1298">
        <v>115.68</v>
      </c>
      <c r="C374" s="1298">
        <v>120.0874</v>
      </c>
      <c r="D374" s="1349">
        <v>0.96329839766703251</v>
      </c>
      <c r="E374" s="1178">
        <f t="shared" si="5"/>
        <v>3</v>
      </c>
    </row>
    <row r="375" spans="1:5" ht="14.25">
      <c r="A375" s="1298" t="s">
        <v>2371</v>
      </c>
      <c r="B375" s="1298">
        <v>115.68</v>
      </c>
      <c r="C375" s="1298">
        <v>120.0874</v>
      </c>
      <c r="D375" s="1349">
        <v>0.96329839766703251</v>
      </c>
      <c r="E375" s="1178">
        <f t="shared" si="5"/>
        <v>3</v>
      </c>
    </row>
    <row r="376" spans="1:5" ht="14.25">
      <c r="A376" s="1298" t="s">
        <v>2255</v>
      </c>
      <c r="B376" s="1298">
        <v>66.611500000000007</v>
      </c>
      <c r="C376" s="1298">
        <v>67.441900000000004</v>
      </c>
      <c r="D376" s="1349">
        <v>0.98768717963165331</v>
      </c>
      <c r="E376" s="1178">
        <f t="shared" si="5"/>
        <v>3</v>
      </c>
    </row>
    <row r="377" spans="1:5" ht="14.25">
      <c r="A377" s="1298" t="s">
        <v>2257</v>
      </c>
      <c r="B377" s="1298">
        <v>14.5</v>
      </c>
      <c r="C377" s="1298">
        <v>14.5</v>
      </c>
      <c r="D377" s="1349">
        <v>1</v>
      </c>
      <c r="E377" s="1178">
        <f t="shared" si="5"/>
        <v>3</v>
      </c>
    </row>
    <row r="378" spans="1:5" ht="14.25">
      <c r="A378" s="1298" t="s">
        <v>2371</v>
      </c>
      <c r="B378" s="1298">
        <v>81.111500000000007</v>
      </c>
      <c r="C378" s="1298">
        <v>81.941900000000004</v>
      </c>
      <c r="D378" s="1349">
        <v>0.98986599041515999</v>
      </c>
      <c r="E378" s="1178">
        <f t="shared" si="5"/>
        <v>3</v>
      </c>
    </row>
    <row r="379" spans="1:5" ht="14.25">
      <c r="A379" s="1298" t="s">
        <v>2255</v>
      </c>
      <c r="B379" s="1298">
        <v>296.43470000000002</v>
      </c>
      <c r="C379" s="1298">
        <v>302.2792</v>
      </c>
      <c r="D379" s="1349">
        <v>0.98066522605591122</v>
      </c>
      <c r="E379" s="1178">
        <f t="shared" si="5"/>
        <v>3</v>
      </c>
    </row>
    <row r="380" spans="1:5" ht="14.25">
      <c r="A380" s="1298" t="s">
        <v>2257</v>
      </c>
      <c r="B380" s="1298">
        <v>59.3</v>
      </c>
      <c r="C380" s="1298">
        <v>60.1</v>
      </c>
      <c r="D380" s="1349">
        <v>0.98668885191347755</v>
      </c>
      <c r="E380" s="1178">
        <f t="shared" si="5"/>
        <v>3</v>
      </c>
    </row>
    <row r="381" spans="1:5" ht="14.25">
      <c r="A381" s="1298" t="s">
        <v>2370</v>
      </c>
      <c r="B381" s="1298">
        <v>0.1888</v>
      </c>
      <c r="C381" s="1298">
        <v>0.1888</v>
      </c>
      <c r="D381" s="1349">
        <v>1</v>
      </c>
      <c r="E381" s="1178">
        <f t="shared" si="5"/>
        <v>3</v>
      </c>
    </row>
    <row r="382" spans="1:5" ht="14.25">
      <c r="A382" s="1298" t="s">
        <v>2371</v>
      </c>
      <c r="B382" s="1298">
        <v>355.92349999999999</v>
      </c>
      <c r="C382" s="1298">
        <v>362.56799999999998</v>
      </c>
      <c r="D382" s="1349">
        <v>0.98167378257320004</v>
      </c>
      <c r="E382" s="1178">
        <f t="shared" si="5"/>
        <v>3</v>
      </c>
    </row>
    <row r="383" spans="1:5" ht="14.25">
      <c r="A383" s="1298" t="s">
        <v>2255</v>
      </c>
      <c r="B383" s="1298">
        <v>51.818800000000003</v>
      </c>
      <c r="C383" s="1298">
        <v>52.4193</v>
      </c>
      <c r="D383" s="1349">
        <v>0.98854429570787861</v>
      </c>
      <c r="E383" s="1178">
        <f t="shared" si="5"/>
        <v>3</v>
      </c>
    </row>
    <row r="384" spans="1:5" ht="14.25">
      <c r="A384" s="1298" t="s">
        <v>2257</v>
      </c>
      <c r="B384" s="1298">
        <v>10.9</v>
      </c>
      <c r="C384" s="1298">
        <v>11.2</v>
      </c>
      <c r="D384" s="1349">
        <v>0.9732142857142857</v>
      </c>
      <c r="E384" s="1178">
        <f t="shared" si="5"/>
        <v>3</v>
      </c>
    </row>
    <row r="385" spans="1:5" ht="14.25">
      <c r="A385" s="1298" t="s">
        <v>2371</v>
      </c>
      <c r="B385" s="1298">
        <v>62.718800000000002</v>
      </c>
      <c r="C385" s="1298">
        <v>63.619300000000003</v>
      </c>
      <c r="D385" s="1349">
        <v>0.98584549028360891</v>
      </c>
      <c r="E385" s="1178">
        <f t="shared" si="5"/>
        <v>3</v>
      </c>
    </row>
    <row r="386" spans="1:5" ht="14.25">
      <c r="A386" s="1298" t="s">
        <v>2255</v>
      </c>
      <c r="B386" s="1298">
        <v>65.708100000000002</v>
      </c>
      <c r="C386" s="1298">
        <v>66.561300000000003</v>
      </c>
      <c r="D386" s="1349">
        <v>0.98718174074124154</v>
      </c>
      <c r="E386" s="1178">
        <f t="shared" si="5"/>
        <v>3</v>
      </c>
    </row>
    <row r="387" spans="1:5" ht="14.25">
      <c r="A387" s="1298" t="s">
        <v>2257</v>
      </c>
      <c r="B387" s="1298">
        <v>0.4</v>
      </c>
      <c r="C387" s="1298">
        <v>0.4</v>
      </c>
      <c r="D387" s="1349">
        <v>1</v>
      </c>
      <c r="E387" s="1178">
        <f t="shared" ref="E387:E450" si="6">IF(D387&gt;0.9,3,IF(D387&gt;0.8,1.5,0))</f>
        <v>3</v>
      </c>
    </row>
    <row r="388" spans="1:5" ht="14.25">
      <c r="A388" s="1298" t="s">
        <v>2371</v>
      </c>
      <c r="B388" s="1298">
        <v>66.108099999999993</v>
      </c>
      <c r="C388" s="1298">
        <v>66.961299999999994</v>
      </c>
      <c r="D388" s="1349">
        <v>0.98725831189059954</v>
      </c>
      <c r="E388" s="1178">
        <f t="shared" si="6"/>
        <v>3</v>
      </c>
    </row>
    <row r="389" spans="1:5" ht="14.25">
      <c r="A389" s="1298" t="s">
        <v>2255</v>
      </c>
      <c r="B389" s="1298">
        <v>284.90089999999998</v>
      </c>
      <c r="C389" s="1298">
        <v>294.0138</v>
      </c>
      <c r="D389" s="1349">
        <v>0.96900519635472893</v>
      </c>
      <c r="E389" s="1178">
        <f t="shared" si="6"/>
        <v>3</v>
      </c>
    </row>
    <row r="390" spans="1:5" ht="14.25">
      <c r="A390" s="1298" t="s">
        <v>2257</v>
      </c>
      <c r="B390" s="1298">
        <v>3.1</v>
      </c>
      <c r="C390" s="1298">
        <v>3.1</v>
      </c>
      <c r="D390" s="1349">
        <v>1</v>
      </c>
      <c r="E390" s="1178">
        <f t="shared" si="6"/>
        <v>3</v>
      </c>
    </row>
    <row r="391" spans="1:5" ht="14.25">
      <c r="A391" s="1298" t="s">
        <v>2370</v>
      </c>
      <c r="B391" s="1298">
        <v>0.1888</v>
      </c>
      <c r="C391" s="1298">
        <v>0.1888</v>
      </c>
      <c r="D391" s="1349">
        <v>1</v>
      </c>
      <c r="E391" s="1178">
        <f t="shared" si="6"/>
        <v>3</v>
      </c>
    </row>
    <row r="392" spans="1:5" ht="14.25">
      <c r="A392" s="1298" t="s">
        <v>2371</v>
      </c>
      <c r="B392" s="1298">
        <v>288.18970000000002</v>
      </c>
      <c r="C392" s="1298">
        <v>297.30259999999998</v>
      </c>
      <c r="D392" s="1349">
        <v>0.96934806490087877</v>
      </c>
      <c r="E392" s="1178">
        <f t="shared" si="6"/>
        <v>3</v>
      </c>
    </row>
    <row r="393" spans="1:5" ht="14.25">
      <c r="A393" s="1298" t="s">
        <v>2255</v>
      </c>
      <c r="B393" s="1298">
        <v>140.108</v>
      </c>
      <c r="C393" s="1298">
        <v>142.76910000000001</v>
      </c>
      <c r="D393" s="1349">
        <v>0.98136081266884778</v>
      </c>
      <c r="E393" s="1178">
        <f t="shared" si="6"/>
        <v>3</v>
      </c>
    </row>
    <row r="394" spans="1:5" ht="14.25">
      <c r="A394" s="1298" t="s">
        <v>2257</v>
      </c>
      <c r="B394" s="1298">
        <v>28.9</v>
      </c>
      <c r="C394" s="1298">
        <v>28.9</v>
      </c>
      <c r="D394" s="1349">
        <v>1</v>
      </c>
      <c r="E394" s="1178">
        <f t="shared" si="6"/>
        <v>3</v>
      </c>
    </row>
    <row r="395" spans="1:5" ht="14.25">
      <c r="A395" s="1298" t="s">
        <v>2370</v>
      </c>
      <c r="B395" s="1298">
        <v>0.21279999999999999</v>
      </c>
      <c r="C395" s="1298">
        <v>0.21129999999999999</v>
      </c>
      <c r="D395" s="1349">
        <v>1</v>
      </c>
      <c r="E395" s="1178">
        <f t="shared" si="6"/>
        <v>3</v>
      </c>
    </row>
    <row r="396" spans="1:5" ht="14.25">
      <c r="A396" s="1298" t="s">
        <v>2371</v>
      </c>
      <c r="B396" s="1298">
        <v>169.2208</v>
      </c>
      <c r="C396" s="1298">
        <v>171.88040000000001</v>
      </c>
      <c r="D396" s="1349">
        <v>0.98452644978717763</v>
      </c>
      <c r="E396" s="1178">
        <f t="shared" si="6"/>
        <v>3</v>
      </c>
    </row>
    <row r="397" spans="1:5" ht="14.25">
      <c r="A397" s="1298" t="s">
        <v>2255</v>
      </c>
      <c r="B397" s="1298">
        <v>11.5014</v>
      </c>
      <c r="C397" s="1298">
        <v>12.1934</v>
      </c>
      <c r="D397" s="1349">
        <v>0.94324798661571019</v>
      </c>
      <c r="E397" s="1178">
        <f t="shared" si="6"/>
        <v>3</v>
      </c>
    </row>
    <row r="398" spans="1:5" ht="14.25">
      <c r="A398" s="1298" t="s">
        <v>2371</v>
      </c>
      <c r="B398" s="1298">
        <v>11.5014</v>
      </c>
      <c r="C398" s="1298">
        <v>12.1934</v>
      </c>
      <c r="D398" s="1349">
        <v>0.94324798661571019</v>
      </c>
      <c r="E398" s="1178">
        <f t="shared" si="6"/>
        <v>3</v>
      </c>
    </row>
    <row r="399" spans="1:5" ht="14.25">
      <c r="A399" s="1298" t="s">
        <v>2255</v>
      </c>
      <c r="B399" s="1298">
        <v>1089.07</v>
      </c>
      <c r="C399" s="1298">
        <v>1115.9374</v>
      </c>
      <c r="D399" s="1349">
        <v>0.97592391831298064</v>
      </c>
      <c r="E399" s="1178">
        <f t="shared" si="6"/>
        <v>3</v>
      </c>
    </row>
    <row r="400" spans="1:5" ht="14.25">
      <c r="A400" s="1298" t="s">
        <v>2258</v>
      </c>
      <c r="B400" s="1298">
        <v>305.66419999999999</v>
      </c>
      <c r="C400" s="1298">
        <v>322.20299999999997</v>
      </c>
      <c r="D400" s="1349">
        <v>0.94866962753295281</v>
      </c>
      <c r="E400" s="1178">
        <f t="shared" si="6"/>
        <v>3</v>
      </c>
    </row>
    <row r="401" spans="1:5" ht="14.25">
      <c r="A401" s="1298" t="s">
        <v>2257</v>
      </c>
      <c r="B401" s="1298">
        <v>183.3</v>
      </c>
      <c r="C401" s="1298">
        <v>190.4</v>
      </c>
      <c r="D401" s="1349">
        <v>0.96271008403361347</v>
      </c>
      <c r="E401" s="1178">
        <f t="shared" si="6"/>
        <v>3</v>
      </c>
    </row>
    <row r="402" spans="1:5" ht="14.25">
      <c r="A402" s="1298" t="s">
        <v>2370</v>
      </c>
      <c r="B402" s="1298">
        <v>0.59040000000000004</v>
      </c>
      <c r="C402" s="1298">
        <v>0.58889999999999998</v>
      </c>
      <c r="D402" s="1349">
        <v>1</v>
      </c>
      <c r="E402" s="1178">
        <f t="shared" si="6"/>
        <v>3</v>
      </c>
    </row>
    <row r="403" spans="1:5" ht="14.25">
      <c r="A403" s="1298" t="s">
        <v>2371</v>
      </c>
      <c r="B403" s="1298">
        <v>1578.6246000000001</v>
      </c>
      <c r="C403" s="1298">
        <v>1629.1293000000001</v>
      </c>
      <c r="D403" s="1349">
        <v>0.96899896159255128</v>
      </c>
      <c r="E403" s="1178">
        <f t="shared" si="6"/>
        <v>3</v>
      </c>
    </row>
    <row r="404" spans="1:5" ht="14.25">
      <c r="A404" s="1298" t="s">
        <v>2255</v>
      </c>
      <c r="B404" s="1298">
        <v>229.33680000000001</v>
      </c>
      <c r="C404" s="1298">
        <v>235.17689999999999</v>
      </c>
      <c r="D404" s="1349">
        <v>0.97516720392181377</v>
      </c>
      <c r="E404" s="1178">
        <f t="shared" si="6"/>
        <v>3</v>
      </c>
    </row>
    <row r="405" spans="1:5" ht="14.25">
      <c r="A405" s="1298" t="s">
        <v>2258</v>
      </c>
      <c r="B405" s="1298">
        <v>403.21120000000002</v>
      </c>
      <c r="C405" s="1298">
        <v>434.89769999999999</v>
      </c>
      <c r="D405" s="1349">
        <v>0.927140336681477</v>
      </c>
      <c r="E405" s="1178">
        <f t="shared" si="6"/>
        <v>3</v>
      </c>
    </row>
    <row r="406" spans="1:5" ht="14.25">
      <c r="A406" s="1298" t="s">
        <v>2257</v>
      </c>
      <c r="B406" s="1298">
        <v>137.50120000000001</v>
      </c>
      <c r="C406" s="1298">
        <v>140.88999999999999</v>
      </c>
      <c r="D406" s="1349">
        <v>0.97594719284548226</v>
      </c>
      <c r="E406" s="1178">
        <f t="shared" si="6"/>
        <v>3</v>
      </c>
    </row>
    <row r="407" spans="1:5" ht="14.25">
      <c r="A407" s="1298" t="s">
        <v>2370</v>
      </c>
      <c r="B407" s="1298">
        <v>0.1888</v>
      </c>
      <c r="C407" s="1298">
        <v>1.2847</v>
      </c>
      <c r="D407" s="1349">
        <v>0.14696037985521912</v>
      </c>
      <c r="E407" s="1178">
        <f t="shared" si="6"/>
        <v>0</v>
      </c>
    </row>
    <row r="408" spans="1:5" ht="14.25">
      <c r="A408" s="1298" t="s">
        <v>2371</v>
      </c>
      <c r="B408" s="1298">
        <v>770.23800000000006</v>
      </c>
      <c r="C408" s="1298">
        <v>812.24929999999995</v>
      </c>
      <c r="D408" s="1349">
        <v>0.94827782553952344</v>
      </c>
      <c r="E408" s="1178">
        <f t="shared" si="6"/>
        <v>3</v>
      </c>
    </row>
    <row r="409" spans="1:5" ht="14.25">
      <c r="A409" s="1298" t="s">
        <v>2255</v>
      </c>
      <c r="B409" s="1298">
        <v>15.558299999999999</v>
      </c>
      <c r="C409" s="1298">
        <v>15.922000000000001</v>
      </c>
      <c r="D409" s="1349">
        <v>0.97715739228740106</v>
      </c>
      <c r="E409" s="1178">
        <f t="shared" si="6"/>
        <v>3</v>
      </c>
    </row>
    <row r="410" spans="1:5" ht="14.25">
      <c r="A410" s="1298" t="s">
        <v>2257</v>
      </c>
      <c r="B410" s="1298">
        <v>4.7888000000000002</v>
      </c>
      <c r="C410" s="1298">
        <v>5.0888</v>
      </c>
      <c r="D410" s="1349">
        <v>0.94104700518786355</v>
      </c>
      <c r="E410" s="1178">
        <f t="shared" si="6"/>
        <v>3</v>
      </c>
    </row>
    <row r="411" spans="1:5" ht="14.25">
      <c r="A411" s="1298" t="s">
        <v>2371</v>
      </c>
      <c r="B411" s="1298">
        <v>20.347100000000001</v>
      </c>
      <c r="C411" s="1298">
        <v>21.0108</v>
      </c>
      <c r="D411" s="1349">
        <v>0.96841148361794882</v>
      </c>
      <c r="E411" s="1178">
        <f t="shared" si="6"/>
        <v>3</v>
      </c>
    </row>
    <row r="412" spans="1:5" ht="14.25">
      <c r="A412" s="1298" t="s">
        <v>2255</v>
      </c>
      <c r="B412" s="1298">
        <v>135.48330000000001</v>
      </c>
      <c r="C412" s="1298">
        <v>141.94149999999999</v>
      </c>
      <c r="D412" s="1349">
        <v>0.95450097399280687</v>
      </c>
      <c r="E412" s="1178">
        <f t="shared" si="6"/>
        <v>3</v>
      </c>
    </row>
    <row r="413" spans="1:5" ht="14.25">
      <c r="A413" s="1298" t="s">
        <v>2371</v>
      </c>
      <c r="B413" s="1298">
        <v>135.48330000000001</v>
      </c>
      <c r="C413" s="1298">
        <v>141.94149999999999</v>
      </c>
      <c r="D413" s="1349">
        <v>0.95450097399280687</v>
      </c>
      <c r="E413" s="1178">
        <f t="shared" si="6"/>
        <v>3</v>
      </c>
    </row>
    <row r="414" spans="1:5" ht="14.25">
      <c r="A414" s="1298" t="s">
        <v>2255</v>
      </c>
      <c r="B414" s="1298">
        <v>91.354299999999995</v>
      </c>
      <c r="C414" s="1298">
        <v>93.769900000000007</v>
      </c>
      <c r="D414" s="1349">
        <v>0.97423906818712613</v>
      </c>
      <c r="E414" s="1178">
        <f t="shared" si="6"/>
        <v>3</v>
      </c>
    </row>
    <row r="415" spans="1:5" ht="14.25">
      <c r="A415" s="1298" t="s">
        <v>2257</v>
      </c>
      <c r="B415" s="1298">
        <v>140.3888</v>
      </c>
      <c r="C415" s="1298">
        <v>140.3888</v>
      </c>
      <c r="D415" s="1349">
        <v>1</v>
      </c>
      <c r="E415" s="1178">
        <f t="shared" si="6"/>
        <v>3</v>
      </c>
    </row>
    <row r="416" spans="1:5" ht="14.25">
      <c r="A416" s="1298" t="s">
        <v>2370</v>
      </c>
      <c r="B416" s="1298">
        <v>0.46579999999999999</v>
      </c>
      <c r="C416" s="1298">
        <v>0.46579999999999999</v>
      </c>
      <c r="D416" s="1349">
        <v>1</v>
      </c>
      <c r="E416" s="1178">
        <f t="shared" si="6"/>
        <v>3</v>
      </c>
    </row>
    <row r="417" spans="1:5" ht="14.25">
      <c r="A417" s="1298" t="s">
        <v>2371</v>
      </c>
      <c r="B417" s="1298">
        <v>232.2089</v>
      </c>
      <c r="C417" s="1298">
        <v>234.62450000000001</v>
      </c>
      <c r="D417" s="1349">
        <v>0.98970440000937665</v>
      </c>
      <c r="E417" s="1178">
        <f t="shared" si="6"/>
        <v>3</v>
      </c>
    </row>
    <row r="418" spans="1:5" ht="14.25">
      <c r="A418" s="1298" t="s">
        <v>2255</v>
      </c>
      <c r="B418" s="1298">
        <v>43.178600000000003</v>
      </c>
      <c r="C418" s="1298">
        <v>46.603900000000003</v>
      </c>
      <c r="D418" s="1349">
        <v>0.92650185928645457</v>
      </c>
      <c r="E418" s="1178">
        <f t="shared" si="6"/>
        <v>3</v>
      </c>
    </row>
    <row r="419" spans="1:5" ht="14.25">
      <c r="A419" s="1298" t="s">
        <v>2257</v>
      </c>
      <c r="B419" s="1298">
        <v>16.088799999999999</v>
      </c>
      <c r="C419" s="1298">
        <v>16.088799999999999</v>
      </c>
      <c r="D419" s="1349">
        <v>1</v>
      </c>
      <c r="E419" s="1178">
        <f t="shared" si="6"/>
        <v>3</v>
      </c>
    </row>
    <row r="420" spans="1:5" ht="14.25">
      <c r="A420" s="1298" t="s">
        <v>2371</v>
      </c>
      <c r="B420" s="1298">
        <v>59.267400000000002</v>
      </c>
      <c r="C420" s="1298">
        <v>62.692700000000002</v>
      </c>
      <c r="D420" s="1349">
        <v>0.94536365477958362</v>
      </c>
      <c r="E420" s="1178">
        <f t="shared" si="6"/>
        <v>3</v>
      </c>
    </row>
    <row r="421" spans="1:5" ht="14.25">
      <c r="A421" s="1298" t="s">
        <v>2255</v>
      </c>
      <c r="B421" s="1298">
        <v>42.49</v>
      </c>
      <c r="C421" s="1298">
        <v>44.4069</v>
      </c>
      <c r="D421" s="1349">
        <v>0.95683328491743402</v>
      </c>
      <c r="E421" s="1178">
        <f t="shared" si="6"/>
        <v>3</v>
      </c>
    </row>
    <row r="422" spans="1:5" ht="14.25">
      <c r="A422" s="1298" t="s">
        <v>2371</v>
      </c>
      <c r="B422" s="1298">
        <v>42.49</v>
      </c>
      <c r="C422" s="1298">
        <v>44.4069</v>
      </c>
      <c r="D422" s="1349">
        <v>0.95683328491743402</v>
      </c>
      <c r="E422" s="1178">
        <f t="shared" si="6"/>
        <v>3</v>
      </c>
    </row>
    <row r="423" spans="1:5" ht="14.25">
      <c r="A423" s="1298" t="s">
        <v>2255</v>
      </c>
      <c r="B423" s="1298">
        <v>85.741</v>
      </c>
      <c r="C423" s="1298">
        <v>86.439300000000003</v>
      </c>
      <c r="D423" s="1349">
        <v>0.9919214986701651</v>
      </c>
      <c r="E423" s="1178">
        <f t="shared" si="6"/>
        <v>3</v>
      </c>
    </row>
    <row r="424" spans="1:5" ht="14.25">
      <c r="A424" s="1298" t="s">
        <v>2371</v>
      </c>
      <c r="B424" s="1298">
        <v>85.741</v>
      </c>
      <c r="C424" s="1298">
        <v>86.439300000000003</v>
      </c>
      <c r="D424" s="1349">
        <v>0.9919214986701651</v>
      </c>
      <c r="E424" s="1178">
        <f t="shared" si="6"/>
        <v>3</v>
      </c>
    </row>
    <row r="425" spans="1:5" ht="14.25">
      <c r="A425" s="1298" t="s">
        <v>2255</v>
      </c>
      <c r="B425" s="1298">
        <v>14.3741</v>
      </c>
      <c r="C425" s="1298">
        <v>17.328399999999998</v>
      </c>
      <c r="D425" s="1349">
        <v>0.82951109161838366</v>
      </c>
      <c r="E425" s="1178">
        <f t="shared" si="6"/>
        <v>1.5</v>
      </c>
    </row>
    <row r="426" spans="1:5" ht="14.25">
      <c r="A426" s="1298" t="s">
        <v>2371</v>
      </c>
      <c r="B426" s="1298">
        <v>14.3741</v>
      </c>
      <c r="C426" s="1298">
        <v>17.328399999999998</v>
      </c>
      <c r="D426" s="1349">
        <v>0.82951109161838366</v>
      </c>
      <c r="E426" s="1178">
        <f t="shared" si="6"/>
        <v>1.5</v>
      </c>
    </row>
    <row r="427" spans="1:5" ht="14.25">
      <c r="A427" s="1298" t="s">
        <v>2255</v>
      </c>
      <c r="B427" s="1298">
        <v>657.51639999999998</v>
      </c>
      <c r="C427" s="1298">
        <v>681.58879999999999</v>
      </c>
      <c r="D427" s="1349">
        <v>0.96468193139323888</v>
      </c>
      <c r="E427" s="1178">
        <f t="shared" si="6"/>
        <v>3</v>
      </c>
    </row>
    <row r="428" spans="1:5" ht="14.25">
      <c r="A428" s="1298" t="s">
        <v>2258</v>
      </c>
      <c r="B428" s="1298">
        <v>403.21120000000002</v>
      </c>
      <c r="C428" s="1298">
        <v>434.89769999999999</v>
      </c>
      <c r="D428" s="1349">
        <v>0.927140336681477</v>
      </c>
      <c r="E428" s="1178">
        <f t="shared" si="6"/>
        <v>3</v>
      </c>
    </row>
    <row r="429" spans="1:5" ht="14.25">
      <c r="A429" s="1298" t="s">
        <v>2257</v>
      </c>
      <c r="B429" s="1298">
        <v>298.76760000000002</v>
      </c>
      <c r="C429" s="1298">
        <v>302.45639999999997</v>
      </c>
      <c r="D429" s="1349">
        <v>0.98780386197812309</v>
      </c>
      <c r="E429" s="1178">
        <f t="shared" si="6"/>
        <v>3</v>
      </c>
    </row>
    <row r="430" spans="1:5" ht="14.25">
      <c r="A430" s="1298" t="s">
        <v>2370</v>
      </c>
      <c r="B430" s="1298">
        <v>0.65459999999999996</v>
      </c>
      <c r="C430" s="1298">
        <v>1.7504999999999999</v>
      </c>
      <c r="D430" s="1349">
        <v>0.37395029991431022</v>
      </c>
      <c r="E430" s="1178">
        <f t="shared" si="6"/>
        <v>0</v>
      </c>
    </row>
    <row r="431" spans="1:5" ht="14.25">
      <c r="A431" s="1298" t="s">
        <v>2371</v>
      </c>
      <c r="B431" s="1298">
        <v>1360.1497999999999</v>
      </c>
      <c r="C431" s="1298">
        <v>1420.6934000000001</v>
      </c>
      <c r="D431" s="1349">
        <v>0.957384471554524</v>
      </c>
      <c r="E431" s="1178">
        <f t="shared" si="6"/>
        <v>3</v>
      </c>
    </row>
    <row r="432" spans="1:5" ht="14.25">
      <c r="A432" s="1298" t="s">
        <v>2255</v>
      </c>
      <c r="B432" s="1298">
        <v>53.6999</v>
      </c>
      <c r="C432" s="1298">
        <v>56.060299999999998</v>
      </c>
      <c r="D432" s="1349">
        <v>0.9578953376988707</v>
      </c>
      <c r="E432" s="1178">
        <f t="shared" si="6"/>
        <v>3</v>
      </c>
    </row>
    <row r="433" spans="1:5" ht="14.25">
      <c r="A433" s="1298" t="s">
        <v>2258</v>
      </c>
      <c r="B433" s="1298">
        <v>69.299400000000006</v>
      </c>
      <c r="C433" s="1298">
        <v>71.146199999999993</v>
      </c>
      <c r="D433" s="1349">
        <v>0.97404218356004957</v>
      </c>
      <c r="E433" s="1178">
        <f t="shared" si="6"/>
        <v>3</v>
      </c>
    </row>
    <row r="434" spans="1:5" ht="14.25">
      <c r="A434" s="1298" t="s">
        <v>2257</v>
      </c>
      <c r="B434" s="1298">
        <v>77.22</v>
      </c>
      <c r="C434" s="1298">
        <v>77.408799999999999</v>
      </c>
      <c r="D434" s="1349">
        <v>0.99756100081644461</v>
      </c>
      <c r="E434" s="1178">
        <f t="shared" si="6"/>
        <v>3</v>
      </c>
    </row>
    <row r="435" spans="1:5" ht="14.25">
      <c r="A435" s="1298" t="s">
        <v>2371</v>
      </c>
      <c r="B435" s="1298">
        <v>200.2193</v>
      </c>
      <c r="C435" s="1298">
        <v>204.61529999999999</v>
      </c>
      <c r="D435" s="1349">
        <v>0.97851578058923261</v>
      </c>
      <c r="E435" s="1178">
        <f t="shared" si="6"/>
        <v>3</v>
      </c>
    </row>
    <row r="436" spans="1:5" ht="14.25">
      <c r="A436" s="1298" t="s">
        <v>2255</v>
      </c>
      <c r="B436" s="1298">
        <v>80.082999999999998</v>
      </c>
      <c r="C436" s="1298">
        <v>84.894499999999994</v>
      </c>
      <c r="D436" s="1349">
        <v>0.94332377244697829</v>
      </c>
      <c r="E436" s="1178">
        <f t="shared" si="6"/>
        <v>3</v>
      </c>
    </row>
    <row r="437" spans="1:5" ht="14.25">
      <c r="A437" s="1298" t="s">
        <v>2257</v>
      </c>
      <c r="B437" s="1298">
        <v>4</v>
      </c>
      <c r="C437" s="1298">
        <v>5</v>
      </c>
      <c r="D437" s="1349">
        <v>0.8</v>
      </c>
      <c r="E437" s="1178">
        <f t="shared" si="6"/>
        <v>0</v>
      </c>
    </row>
    <row r="438" spans="1:5" ht="14.25">
      <c r="A438" s="1298" t="s">
        <v>2370</v>
      </c>
      <c r="B438" s="1298">
        <v>0.1888</v>
      </c>
      <c r="C438" s="1298">
        <v>0.1888</v>
      </c>
      <c r="D438" s="1349">
        <v>1</v>
      </c>
      <c r="E438" s="1178">
        <f t="shared" si="6"/>
        <v>3</v>
      </c>
    </row>
    <row r="439" spans="1:5" ht="14.25">
      <c r="A439" s="1298" t="s">
        <v>2371</v>
      </c>
      <c r="B439" s="1298">
        <v>84.271799999999999</v>
      </c>
      <c r="C439" s="1298">
        <v>90.083299999999994</v>
      </c>
      <c r="D439" s="1349">
        <v>0.93548748769194734</v>
      </c>
      <c r="E439" s="1178">
        <f t="shared" si="6"/>
        <v>3</v>
      </c>
    </row>
    <row r="440" spans="1:5" ht="14.25">
      <c r="A440" s="1298" t="s">
        <v>2255</v>
      </c>
      <c r="B440" s="1298">
        <v>21.762699999999999</v>
      </c>
      <c r="C440" s="1298">
        <v>22.7456</v>
      </c>
      <c r="D440" s="1349">
        <v>0.95678724676420934</v>
      </c>
      <c r="E440" s="1178">
        <f t="shared" si="6"/>
        <v>3</v>
      </c>
    </row>
    <row r="441" spans="1:5" ht="14.25">
      <c r="A441" s="1298" t="s">
        <v>2371</v>
      </c>
      <c r="B441" s="1298">
        <v>21.762699999999999</v>
      </c>
      <c r="C441" s="1298">
        <v>22.7456</v>
      </c>
      <c r="D441" s="1349">
        <v>0.95678724676420934</v>
      </c>
      <c r="E441" s="1178">
        <f t="shared" si="6"/>
        <v>3</v>
      </c>
    </row>
    <row r="442" spans="1:5" ht="14.25">
      <c r="A442" s="1298" t="s">
        <v>2255</v>
      </c>
      <c r="B442" s="1298">
        <v>155.54560000000001</v>
      </c>
      <c r="C442" s="1298">
        <v>163.7004</v>
      </c>
      <c r="D442" s="1349">
        <v>0.95018460553547823</v>
      </c>
      <c r="E442" s="1178">
        <f t="shared" si="6"/>
        <v>3</v>
      </c>
    </row>
    <row r="443" spans="1:5" ht="14.25">
      <c r="A443" s="1298" t="s">
        <v>2258</v>
      </c>
      <c r="B443" s="1298">
        <v>69.299400000000006</v>
      </c>
      <c r="C443" s="1298">
        <v>71.146199999999993</v>
      </c>
      <c r="D443" s="1349">
        <v>0.97404218356004957</v>
      </c>
      <c r="E443" s="1178">
        <f t="shared" si="6"/>
        <v>3</v>
      </c>
    </row>
    <row r="444" spans="1:5" ht="14.25">
      <c r="A444" s="1298" t="s">
        <v>2257</v>
      </c>
      <c r="B444" s="1298">
        <v>81.22</v>
      </c>
      <c r="C444" s="1298">
        <v>82.408799999999999</v>
      </c>
      <c r="D444" s="1349">
        <v>0.98557435613672328</v>
      </c>
      <c r="E444" s="1178">
        <f t="shared" si="6"/>
        <v>3</v>
      </c>
    </row>
    <row r="445" spans="1:5" ht="14.25">
      <c r="A445" s="1298" t="s">
        <v>2370</v>
      </c>
      <c r="B445" s="1298">
        <v>0.1888</v>
      </c>
      <c r="C445" s="1298">
        <v>0.1888</v>
      </c>
      <c r="D445" s="1349">
        <v>1</v>
      </c>
      <c r="E445" s="1178">
        <f t="shared" si="6"/>
        <v>3</v>
      </c>
    </row>
    <row r="446" spans="1:5" ht="14.25">
      <c r="A446" s="1298" t="s">
        <v>2371</v>
      </c>
      <c r="B446" s="1298">
        <v>306.25380000000001</v>
      </c>
      <c r="C446" s="1298">
        <v>317.44420000000002</v>
      </c>
      <c r="D446" s="1349">
        <v>0.96474845027882061</v>
      </c>
      <c r="E446" s="1178">
        <f t="shared" si="6"/>
        <v>3</v>
      </c>
    </row>
    <row r="447" spans="1:5" ht="14.25">
      <c r="A447" s="1298" t="s">
        <v>2255</v>
      </c>
      <c r="B447" s="1298">
        <v>198.88040000000001</v>
      </c>
      <c r="C447" s="1298">
        <v>207.19200000000001</v>
      </c>
      <c r="D447" s="1349">
        <v>0.95988455152708596</v>
      </c>
      <c r="E447" s="1178">
        <f t="shared" si="6"/>
        <v>3</v>
      </c>
    </row>
    <row r="448" spans="1:5" ht="14.25">
      <c r="A448" s="1298" t="s">
        <v>2258</v>
      </c>
      <c r="B448" s="1298">
        <v>14.139799999999999</v>
      </c>
      <c r="C448" s="1298">
        <v>14.8047</v>
      </c>
      <c r="D448" s="1349">
        <v>0.95508858673259167</v>
      </c>
      <c r="E448" s="1178">
        <f t="shared" si="6"/>
        <v>3</v>
      </c>
    </row>
    <row r="449" spans="1:5" ht="14.25">
      <c r="A449" s="1298" t="s">
        <v>2257</v>
      </c>
      <c r="B449" s="1298">
        <v>129.5642</v>
      </c>
      <c r="C449" s="1298">
        <v>138.26339999999999</v>
      </c>
      <c r="D449" s="1349">
        <v>0.93708240937225618</v>
      </c>
      <c r="E449" s="1178">
        <f t="shared" si="6"/>
        <v>3</v>
      </c>
    </row>
    <row r="450" spans="1:5" ht="14.25">
      <c r="A450" s="1298" t="s">
        <v>2370</v>
      </c>
      <c r="B450" s="1298">
        <v>0.69259999999999999</v>
      </c>
      <c r="C450" s="1298">
        <v>0.73260000000000003</v>
      </c>
      <c r="D450" s="1349">
        <v>0.94539994539994543</v>
      </c>
      <c r="E450" s="1178">
        <f t="shared" si="6"/>
        <v>3</v>
      </c>
    </row>
    <row r="451" spans="1:5" ht="14.25">
      <c r="A451" s="1298" t="s">
        <v>2371</v>
      </c>
      <c r="B451" s="1298">
        <v>343.27699999999999</v>
      </c>
      <c r="C451" s="1298">
        <v>360.99270000000001</v>
      </c>
      <c r="D451" s="1349">
        <v>0.95092504640675557</v>
      </c>
      <c r="E451" s="1178">
        <f t="shared" ref="E451:E514" si="7">IF(D451&gt;0.9,3,IF(D451&gt;0.8,1.5,0))</f>
        <v>3</v>
      </c>
    </row>
    <row r="452" spans="1:5" ht="14.25">
      <c r="A452" s="1298" t="s">
        <v>2255</v>
      </c>
      <c r="B452" s="1298">
        <v>37.390500000000003</v>
      </c>
      <c r="C452" s="1298">
        <v>38.381700000000002</v>
      </c>
      <c r="D452" s="1349">
        <v>0.97417519286534993</v>
      </c>
      <c r="E452" s="1178">
        <f t="shared" si="7"/>
        <v>3</v>
      </c>
    </row>
    <row r="453" spans="1:5" ht="14.25">
      <c r="A453" s="1298" t="s">
        <v>2257</v>
      </c>
      <c r="B453" s="1298">
        <v>40.034599999999998</v>
      </c>
      <c r="C453" s="1298">
        <v>41.156399999999998</v>
      </c>
      <c r="D453" s="1349">
        <v>0.97274299987365265</v>
      </c>
      <c r="E453" s="1178">
        <f t="shared" si="7"/>
        <v>3</v>
      </c>
    </row>
    <row r="454" spans="1:5" ht="14.25">
      <c r="A454" s="1298" t="s">
        <v>2370</v>
      </c>
      <c r="B454" s="1298">
        <v>0.97189999999999999</v>
      </c>
      <c r="C454" s="1298">
        <v>0.97189999999999999</v>
      </c>
      <c r="D454" s="1349">
        <v>1</v>
      </c>
      <c r="E454" s="1178">
        <f t="shared" si="7"/>
        <v>3</v>
      </c>
    </row>
    <row r="455" spans="1:5" ht="14.25">
      <c r="A455" s="1298" t="s">
        <v>2371</v>
      </c>
      <c r="B455" s="1298">
        <v>78.397000000000006</v>
      </c>
      <c r="C455" s="1298">
        <v>80.510000000000005</v>
      </c>
      <c r="D455" s="1349">
        <v>0.97375481306669975</v>
      </c>
      <c r="E455" s="1178">
        <f t="shared" si="7"/>
        <v>3</v>
      </c>
    </row>
    <row r="456" spans="1:5" ht="14.25">
      <c r="A456" s="1298" t="s">
        <v>2255</v>
      </c>
      <c r="B456" s="1298">
        <v>14.398999999999999</v>
      </c>
      <c r="C456" s="1298">
        <v>14.399900000000001</v>
      </c>
      <c r="D456" s="1349">
        <v>0.99993749956596922</v>
      </c>
      <c r="E456" s="1178">
        <f t="shared" si="7"/>
        <v>3</v>
      </c>
    </row>
    <row r="457" spans="1:5" ht="14.25">
      <c r="A457" s="1298" t="s">
        <v>2371</v>
      </c>
      <c r="B457" s="1298">
        <v>14.398999999999999</v>
      </c>
      <c r="C457" s="1298">
        <v>14.399900000000001</v>
      </c>
      <c r="D457" s="1349">
        <v>0.99993749956596922</v>
      </c>
      <c r="E457" s="1178">
        <f t="shared" si="7"/>
        <v>3</v>
      </c>
    </row>
    <row r="458" spans="1:5" ht="14.25">
      <c r="A458" s="1298" t="s">
        <v>2255</v>
      </c>
      <c r="B458" s="1298">
        <v>46.285899999999998</v>
      </c>
      <c r="C458" s="1298">
        <v>50.611600000000003</v>
      </c>
      <c r="D458" s="1349">
        <v>0.91453145128784707</v>
      </c>
      <c r="E458" s="1178">
        <f t="shared" si="7"/>
        <v>3</v>
      </c>
    </row>
    <row r="459" spans="1:5" ht="14.25">
      <c r="A459" s="1298" t="s">
        <v>2371</v>
      </c>
      <c r="B459" s="1298">
        <v>46.285899999999998</v>
      </c>
      <c r="C459" s="1298">
        <v>50.611600000000003</v>
      </c>
      <c r="D459" s="1349">
        <v>0.91453145128784707</v>
      </c>
      <c r="E459" s="1178">
        <f t="shared" si="7"/>
        <v>3</v>
      </c>
    </row>
    <row r="460" spans="1:5" ht="14.25">
      <c r="A460" s="1298" t="s">
        <v>2255</v>
      </c>
      <c r="B460" s="1298">
        <v>10.2834</v>
      </c>
      <c r="C460" s="1298">
        <v>10.5413</v>
      </c>
      <c r="D460" s="1349">
        <v>0.9755343268856782</v>
      </c>
      <c r="E460" s="1178">
        <f t="shared" si="7"/>
        <v>3</v>
      </c>
    </row>
    <row r="461" spans="1:5" ht="14.25">
      <c r="A461" s="1298" t="s">
        <v>2371</v>
      </c>
      <c r="B461" s="1298">
        <v>10.2834</v>
      </c>
      <c r="C461" s="1298">
        <v>10.5413</v>
      </c>
      <c r="D461" s="1349">
        <v>0.9755343268856782</v>
      </c>
      <c r="E461" s="1178">
        <f t="shared" si="7"/>
        <v>3</v>
      </c>
    </row>
    <row r="462" spans="1:5" ht="14.25">
      <c r="A462" s="1298" t="s">
        <v>2255</v>
      </c>
      <c r="B462" s="1298">
        <v>307.23919999999998</v>
      </c>
      <c r="C462" s="1298">
        <v>321.12650000000002</v>
      </c>
      <c r="D462" s="1349">
        <v>0.95675442543670486</v>
      </c>
      <c r="E462" s="1178">
        <f t="shared" si="7"/>
        <v>3</v>
      </c>
    </row>
    <row r="463" spans="1:5" ht="14.25">
      <c r="A463" s="1298" t="s">
        <v>2258</v>
      </c>
      <c r="B463" s="1298">
        <v>14.139799999999999</v>
      </c>
      <c r="C463" s="1298">
        <v>14.8047</v>
      </c>
      <c r="D463" s="1349">
        <v>0.95508858673259167</v>
      </c>
      <c r="E463" s="1178">
        <f t="shared" si="7"/>
        <v>3</v>
      </c>
    </row>
    <row r="464" spans="1:5" ht="14.25">
      <c r="A464" s="1298" t="s">
        <v>2257</v>
      </c>
      <c r="B464" s="1298">
        <v>169.59880000000001</v>
      </c>
      <c r="C464" s="1298">
        <v>179.41980000000001</v>
      </c>
      <c r="D464" s="1349">
        <v>0.94526245152430222</v>
      </c>
      <c r="E464" s="1178">
        <f t="shared" si="7"/>
        <v>3</v>
      </c>
    </row>
    <row r="465" spans="1:5" ht="14.25">
      <c r="A465" s="1298" t="s">
        <v>2370</v>
      </c>
      <c r="B465" s="1298">
        <v>1.6645000000000001</v>
      </c>
      <c r="C465" s="1298">
        <v>1.7044999999999999</v>
      </c>
      <c r="D465" s="1349">
        <v>0.97653270753886767</v>
      </c>
      <c r="E465" s="1178">
        <f t="shared" si="7"/>
        <v>3</v>
      </c>
    </row>
    <row r="466" spans="1:5" ht="14.25">
      <c r="A466" s="1298" t="s">
        <v>2371</v>
      </c>
      <c r="B466" s="1298">
        <v>492.64229999999998</v>
      </c>
      <c r="C466" s="1298">
        <v>517.05550000000005</v>
      </c>
      <c r="D466" s="1349">
        <v>0.9527841788744148</v>
      </c>
      <c r="E466" s="1178">
        <f t="shared" si="7"/>
        <v>3</v>
      </c>
    </row>
    <row r="467" spans="1:5" ht="14.25">
      <c r="A467" s="1298" t="s">
        <v>2255</v>
      </c>
      <c r="B467" s="1298">
        <v>122.69029999999999</v>
      </c>
      <c r="C467" s="1298">
        <v>130.33920000000001</v>
      </c>
      <c r="D467" s="1349">
        <v>0.94131542927990963</v>
      </c>
      <c r="E467" s="1178">
        <f t="shared" si="7"/>
        <v>3</v>
      </c>
    </row>
    <row r="468" spans="1:5" ht="14.25">
      <c r="A468" s="1298" t="s">
        <v>2257</v>
      </c>
      <c r="B468" s="1298">
        <v>123.9178</v>
      </c>
      <c r="C468" s="1298">
        <v>125.81780000000001</v>
      </c>
      <c r="D468" s="1349">
        <v>0.98489879810328906</v>
      </c>
      <c r="E468" s="1178">
        <f t="shared" si="7"/>
        <v>3</v>
      </c>
    </row>
    <row r="469" spans="1:5" ht="14.25">
      <c r="A469" s="1298" t="s">
        <v>2371</v>
      </c>
      <c r="B469" s="1298">
        <v>246.60810000000001</v>
      </c>
      <c r="C469" s="1298">
        <v>256.15699999999998</v>
      </c>
      <c r="D469" s="1349">
        <v>0.96272247098459152</v>
      </c>
      <c r="E469" s="1178">
        <f t="shared" si="7"/>
        <v>3</v>
      </c>
    </row>
    <row r="470" spans="1:5" ht="14.25">
      <c r="A470" s="1298" t="s">
        <v>2255</v>
      </c>
      <c r="B470" s="1298">
        <v>29.782599999999999</v>
      </c>
      <c r="C470" s="1298">
        <v>30.210899999999999</v>
      </c>
      <c r="D470" s="1349">
        <v>0.98582299765978509</v>
      </c>
      <c r="E470" s="1178">
        <f t="shared" si="7"/>
        <v>3</v>
      </c>
    </row>
    <row r="471" spans="1:5" ht="14.25">
      <c r="A471" s="1298" t="s">
        <v>2258</v>
      </c>
      <c r="B471" s="1298">
        <v>44.369900000000001</v>
      </c>
      <c r="C471" s="1298">
        <v>45.635800000000003</v>
      </c>
      <c r="D471" s="1349">
        <v>0.97226081278294674</v>
      </c>
      <c r="E471" s="1178">
        <f t="shared" si="7"/>
        <v>3</v>
      </c>
    </row>
    <row r="472" spans="1:5" ht="14.25">
      <c r="A472" s="1298" t="s">
        <v>2257</v>
      </c>
      <c r="B472" s="1298">
        <v>10.877599999999999</v>
      </c>
      <c r="C472" s="1298">
        <v>12.877599999999999</v>
      </c>
      <c r="D472" s="1349">
        <v>0.84469155743306201</v>
      </c>
      <c r="E472" s="1178">
        <f t="shared" si="7"/>
        <v>1.5</v>
      </c>
    </row>
    <row r="473" spans="1:5" ht="14.25">
      <c r="A473" s="1298" t="s">
        <v>2371</v>
      </c>
      <c r="B473" s="1298">
        <v>85.030100000000004</v>
      </c>
      <c r="C473" s="1298">
        <v>88.724299999999999</v>
      </c>
      <c r="D473" s="1349">
        <v>0.9583631541753499</v>
      </c>
      <c r="E473" s="1178">
        <f t="shared" si="7"/>
        <v>3</v>
      </c>
    </row>
    <row r="474" spans="1:5" ht="14.25">
      <c r="A474" s="1298" t="s">
        <v>2255</v>
      </c>
      <c r="B474" s="1298">
        <v>13.0779</v>
      </c>
      <c r="C474" s="1298">
        <v>14.9581</v>
      </c>
      <c r="D474" s="1349">
        <v>0.87430221752762716</v>
      </c>
      <c r="E474" s="1178">
        <f t="shared" si="7"/>
        <v>1.5</v>
      </c>
    </row>
    <row r="475" spans="1:5" ht="14.25">
      <c r="A475" s="1298" t="s">
        <v>2257</v>
      </c>
      <c r="B475" s="1298">
        <v>22.151199999999999</v>
      </c>
      <c r="C475" s="1298">
        <v>22.717600000000001</v>
      </c>
      <c r="D475" s="1349">
        <v>0.97506778885093492</v>
      </c>
      <c r="E475" s="1178">
        <f t="shared" si="7"/>
        <v>3</v>
      </c>
    </row>
    <row r="476" spans="1:5" ht="14.25">
      <c r="A476" s="1298" t="s">
        <v>2371</v>
      </c>
      <c r="B476" s="1298">
        <v>35.229100000000003</v>
      </c>
      <c r="C476" s="1298">
        <v>37.675699999999999</v>
      </c>
      <c r="D476" s="1349">
        <v>0.93506159142364975</v>
      </c>
      <c r="E476" s="1178">
        <f t="shared" si="7"/>
        <v>3</v>
      </c>
    </row>
    <row r="477" spans="1:5" ht="14.25">
      <c r="A477" s="1298" t="s">
        <v>2255</v>
      </c>
      <c r="B477" s="1298">
        <v>42.860500000000002</v>
      </c>
      <c r="C477" s="1298">
        <v>45.168999999999997</v>
      </c>
      <c r="D477" s="1349">
        <v>0.94889193916181447</v>
      </c>
      <c r="E477" s="1178">
        <f t="shared" si="7"/>
        <v>3</v>
      </c>
    </row>
    <row r="478" spans="1:5" ht="14.25">
      <c r="A478" s="1298" t="s">
        <v>2258</v>
      </c>
      <c r="B478" s="1298">
        <v>44.369900000000001</v>
      </c>
      <c r="C478" s="1298">
        <v>45.635800000000003</v>
      </c>
      <c r="D478" s="1349">
        <v>0.97226081278294674</v>
      </c>
      <c r="E478" s="1178">
        <f t="shared" si="7"/>
        <v>3</v>
      </c>
    </row>
    <row r="479" spans="1:5" ht="14.25">
      <c r="A479" s="1298" t="s">
        <v>2257</v>
      </c>
      <c r="B479" s="1298">
        <v>33.028799999999997</v>
      </c>
      <c r="C479" s="1298">
        <v>35.595199999999998</v>
      </c>
      <c r="D479" s="1349">
        <v>0.92790039106396371</v>
      </c>
      <c r="E479" s="1178">
        <f t="shared" si="7"/>
        <v>3</v>
      </c>
    </row>
    <row r="480" spans="1:5" ht="14.25">
      <c r="A480" s="1298" t="s">
        <v>2371</v>
      </c>
      <c r="B480" s="1298">
        <v>120.25920000000001</v>
      </c>
      <c r="C480" s="1298">
        <v>126.4</v>
      </c>
      <c r="D480" s="1349">
        <v>0.95141772151898729</v>
      </c>
      <c r="E480" s="1178">
        <f t="shared" si="7"/>
        <v>3</v>
      </c>
    </row>
    <row r="481" spans="1:5" ht="14.25">
      <c r="A481" s="1298" t="s">
        <v>2255</v>
      </c>
      <c r="B481" s="1298">
        <v>4366.8978999999999</v>
      </c>
      <c r="C481" s="1298">
        <v>4533.7974999999997</v>
      </c>
      <c r="D481" s="1349">
        <v>0.96318768096722451</v>
      </c>
      <c r="E481" s="1178">
        <f t="shared" si="7"/>
        <v>3</v>
      </c>
    </row>
    <row r="482" spans="1:5" ht="14.25">
      <c r="A482" s="1298" t="s">
        <v>2258</v>
      </c>
      <c r="B482" s="1298">
        <v>988.697</v>
      </c>
      <c r="C482" s="1298">
        <v>1043.5105000000001</v>
      </c>
      <c r="D482" s="1349">
        <v>0.94747201872908804</v>
      </c>
      <c r="E482" s="1178">
        <f t="shared" si="7"/>
        <v>3</v>
      </c>
    </row>
    <row r="483" spans="1:5" ht="14.25">
      <c r="A483" s="1298" t="s">
        <v>2257</v>
      </c>
      <c r="B483" s="1298">
        <v>1515.1842999999999</v>
      </c>
      <c r="C483" s="1298">
        <v>1553.3415</v>
      </c>
      <c r="D483" s="1349">
        <v>0.97543540811856244</v>
      </c>
      <c r="E483" s="1178">
        <f t="shared" si="7"/>
        <v>3</v>
      </c>
    </row>
    <row r="484" spans="1:5" ht="14.25">
      <c r="A484" s="1298" t="s">
        <v>2370</v>
      </c>
      <c r="B484" s="1298">
        <v>9.9219000000000008</v>
      </c>
      <c r="C484" s="1298">
        <v>11.0578</v>
      </c>
      <c r="D484" s="1349">
        <v>0.89727613087594282</v>
      </c>
      <c r="E484" s="1178">
        <f t="shared" si="7"/>
        <v>1.5</v>
      </c>
    </row>
    <row r="485" spans="1:5" ht="14.25">
      <c r="A485" s="1298" t="s">
        <v>2371</v>
      </c>
      <c r="B485" s="1298">
        <v>6880.7011000000002</v>
      </c>
      <c r="C485" s="1298">
        <v>7141.7073</v>
      </c>
      <c r="D485" s="1349">
        <v>0.96345324877708161</v>
      </c>
      <c r="E485" s="1178">
        <f t="shared" si="7"/>
        <v>3</v>
      </c>
    </row>
    <row r="486" spans="1:5" ht="14.25">
      <c r="A486" s="1298" t="s">
        <v>2255</v>
      </c>
      <c r="B486" s="1298">
        <v>68.054100000000005</v>
      </c>
      <c r="C486" s="1298">
        <v>73.721299999999999</v>
      </c>
      <c r="D486" s="1349">
        <v>0.92312669472730402</v>
      </c>
      <c r="E486" s="1178">
        <f t="shared" si="7"/>
        <v>3</v>
      </c>
    </row>
    <row r="487" spans="1:5" ht="14.25">
      <c r="A487" s="1298" t="s">
        <v>2258</v>
      </c>
      <c r="B487" s="1298">
        <v>50.930700000000002</v>
      </c>
      <c r="C487" s="1298">
        <v>51.397399999999998</v>
      </c>
      <c r="D487" s="1349">
        <v>0.99091977415199994</v>
      </c>
      <c r="E487" s="1178">
        <f t="shared" si="7"/>
        <v>3</v>
      </c>
    </row>
    <row r="488" spans="1:5" ht="14.25">
      <c r="A488" s="1298" t="s">
        <v>2257</v>
      </c>
      <c r="B488" s="1298">
        <v>0.42659999999999998</v>
      </c>
      <c r="C488" s="1298">
        <v>0.42659999999999998</v>
      </c>
      <c r="D488" s="1349">
        <v>1</v>
      </c>
      <c r="E488" s="1178">
        <f t="shared" si="7"/>
        <v>3</v>
      </c>
    </row>
    <row r="489" spans="1:5" ht="14.25">
      <c r="A489" s="1298" t="s">
        <v>2370</v>
      </c>
      <c r="B489" s="1298">
        <v>3.7932999999999999</v>
      </c>
      <c r="C489" s="1298">
        <v>3.7923</v>
      </c>
      <c r="D489" s="1349">
        <v>1</v>
      </c>
      <c r="E489" s="1178">
        <f t="shared" si="7"/>
        <v>3</v>
      </c>
    </row>
    <row r="490" spans="1:5" ht="14.25">
      <c r="A490" s="1298" t="s">
        <v>2371</v>
      </c>
      <c r="B490" s="1298">
        <v>123.2047</v>
      </c>
      <c r="C490" s="1298">
        <v>129.33760000000001</v>
      </c>
      <c r="D490" s="1349">
        <v>0.95258223440051459</v>
      </c>
      <c r="E490" s="1178">
        <f t="shared" si="7"/>
        <v>3</v>
      </c>
    </row>
    <row r="491" spans="1:5" ht="14.25">
      <c r="A491" s="1298" t="s">
        <v>2255</v>
      </c>
      <c r="B491" s="1298">
        <v>593.81140000000005</v>
      </c>
      <c r="C491" s="1298">
        <v>646.06399999999996</v>
      </c>
      <c r="D491" s="1349">
        <v>0.91912163500829636</v>
      </c>
      <c r="E491" s="1178">
        <f t="shared" si="7"/>
        <v>3</v>
      </c>
    </row>
    <row r="492" spans="1:5" ht="14.25">
      <c r="A492" s="1298" t="s">
        <v>2257</v>
      </c>
      <c r="B492" s="1298">
        <v>64.677099999999996</v>
      </c>
      <c r="C492" s="1298">
        <v>67.588800000000006</v>
      </c>
      <c r="D492" s="1349">
        <v>0.95692037734062452</v>
      </c>
      <c r="E492" s="1178">
        <f t="shared" si="7"/>
        <v>3</v>
      </c>
    </row>
    <row r="493" spans="1:5" ht="14.25">
      <c r="A493" s="1298" t="s">
        <v>2370</v>
      </c>
      <c r="B493" s="1298">
        <v>4.4409000000000001</v>
      </c>
      <c r="C493" s="1298">
        <v>4.4409000000000001</v>
      </c>
      <c r="D493" s="1349">
        <v>1</v>
      </c>
      <c r="E493" s="1178">
        <f t="shared" si="7"/>
        <v>3</v>
      </c>
    </row>
    <row r="494" spans="1:5" ht="14.25">
      <c r="A494" s="1298" t="s">
        <v>2371</v>
      </c>
      <c r="B494" s="1298">
        <v>662.92939999999999</v>
      </c>
      <c r="C494" s="1298">
        <v>718.09370000000001</v>
      </c>
      <c r="D494" s="1349">
        <v>0.92317952378638057</v>
      </c>
      <c r="E494" s="1178">
        <f t="shared" si="7"/>
        <v>3</v>
      </c>
    </row>
    <row r="495" spans="1:5" ht="14.25">
      <c r="A495" s="1298" t="s">
        <v>2255</v>
      </c>
      <c r="B495" s="1298">
        <v>183.65719999999999</v>
      </c>
      <c r="C495" s="1298">
        <v>203.85890000000001</v>
      </c>
      <c r="D495" s="1349">
        <v>0.90090351708951633</v>
      </c>
      <c r="E495" s="1178">
        <f t="shared" si="7"/>
        <v>3</v>
      </c>
    </row>
    <row r="496" spans="1:5" ht="14.25">
      <c r="A496" s="1298" t="s">
        <v>2370</v>
      </c>
      <c r="B496" s="1298">
        <v>1.5347</v>
      </c>
      <c r="C496" s="1298">
        <v>1.7797000000000001</v>
      </c>
      <c r="D496" s="1349">
        <v>0.86233634882283527</v>
      </c>
      <c r="E496" s="1178">
        <f t="shared" si="7"/>
        <v>1.5</v>
      </c>
    </row>
    <row r="497" spans="1:5" ht="14.25">
      <c r="A497" s="1298" t="s">
        <v>2371</v>
      </c>
      <c r="B497" s="1298">
        <v>185.1919</v>
      </c>
      <c r="C497" s="1298">
        <v>205.6386</v>
      </c>
      <c r="D497" s="1349">
        <v>0.90056973739366053</v>
      </c>
      <c r="E497" s="1178">
        <f t="shared" si="7"/>
        <v>3</v>
      </c>
    </row>
    <row r="498" spans="1:5" ht="14.25">
      <c r="A498" s="1298" t="s">
        <v>2255</v>
      </c>
      <c r="B498" s="1298">
        <v>40.663800000000002</v>
      </c>
      <c r="C498" s="1298">
        <v>50.533000000000001</v>
      </c>
      <c r="D498" s="1349">
        <v>0.80469792017097741</v>
      </c>
      <c r="E498" s="1178">
        <f t="shared" si="7"/>
        <v>1.5</v>
      </c>
    </row>
    <row r="499" spans="1:5" ht="14.25">
      <c r="A499" s="1298" t="s">
        <v>2258</v>
      </c>
      <c r="B499" s="1298">
        <v>384.91629999999998</v>
      </c>
      <c r="C499" s="1298">
        <v>398.53620000000001</v>
      </c>
      <c r="D499" s="1349">
        <v>0.96582518727282485</v>
      </c>
      <c r="E499" s="1178">
        <f t="shared" si="7"/>
        <v>3</v>
      </c>
    </row>
    <row r="500" spans="1:5" ht="14.25">
      <c r="A500" s="1298" t="s">
        <v>2257</v>
      </c>
      <c r="B500" s="1298">
        <v>327.76729999999998</v>
      </c>
      <c r="C500" s="1298">
        <v>349.53210000000001</v>
      </c>
      <c r="D500" s="1349">
        <v>0.93773161320519627</v>
      </c>
      <c r="E500" s="1178">
        <f t="shared" si="7"/>
        <v>3</v>
      </c>
    </row>
    <row r="501" spans="1:5" ht="14.25">
      <c r="A501" s="1298" t="s">
        <v>2370</v>
      </c>
      <c r="B501" s="1298">
        <v>1.5951</v>
      </c>
      <c r="C501" s="1298">
        <v>1.5961000000000001</v>
      </c>
      <c r="D501" s="1349">
        <v>0.99937347284004763</v>
      </c>
      <c r="E501" s="1178">
        <f t="shared" si="7"/>
        <v>3</v>
      </c>
    </row>
    <row r="502" spans="1:5" ht="14.25">
      <c r="A502" s="1298" t="s">
        <v>2371</v>
      </c>
      <c r="B502" s="1298">
        <v>754.9425</v>
      </c>
      <c r="C502" s="1298">
        <v>800.19740000000002</v>
      </c>
      <c r="D502" s="1349">
        <v>0.94344532986485585</v>
      </c>
      <c r="E502" s="1178">
        <f t="shared" si="7"/>
        <v>3</v>
      </c>
    </row>
    <row r="503" spans="1:5" ht="14.25">
      <c r="A503" s="1298" t="s">
        <v>2255</v>
      </c>
      <c r="B503" s="1298">
        <v>107.08459999999999</v>
      </c>
      <c r="C503" s="1298">
        <v>114.3541</v>
      </c>
      <c r="D503" s="1349">
        <v>0.93642991375035967</v>
      </c>
      <c r="E503" s="1178">
        <f t="shared" si="7"/>
        <v>3</v>
      </c>
    </row>
    <row r="504" spans="1:5" ht="14.25">
      <c r="A504" s="1298" t="s">
        <v>2370</v>
      </c>
      <c r="B504" s="1298">
        <v>1.2024999999999999</v>
      </c>
      <c r="C504" s="1298">
        <v>1.2024999999999999</v>
      </c>
      <c r="D504" s="1349">
        <v>1</v>
      </c>
      <c r="E504" s="1178">
        <f t="shared" si="7"/>
        <v>3</v>
      </c>
    </row>
    <row r="505" spans="1:5" ht="14.25">
      <c r="A505" s="1298" t="s">
        <v>2371</v>
      </c>
      <c r="B505" s="1298">
        <v>108.2871</v>
      </c>
      <c r="C505" s="1298">
        <v>115.5566</v>
      </c>
      <c r="D505" s="1349">
        <v>0.93709143398126982</v>
      </c>
      <c r="E505" s="1178">
        <f t="shared" si="7"/>
        <v>3</v>
      </c>
    </row>
    <row r="506" spans="1:5" ht="14.25">
      <c r="A506" s="1298" t="s">
        <v>2255</v>
      </c>
      <c r="B506" s="1298">
        <v>151.90539999999999</v>
      </c>
      <c r="C506" s="1298">
        <v>156.70529999999999</v>
      </c>
      <c r="D506" s="1349">
        <v>0.96936989367940973</v>
      </c>
      <c r="E506" s="1178">
        <f t="shared" si="7"/>
        <v>3</v>
      </c>
    </row>
    <row r="507" spans="1:5" ht="14.25">
      <c r="A507" s="1298" t="s">
        <v>2370</v>
      </c>
      <c r="B507" s="1298">
        <v>1.62</v>
      </c>
      <c r="C507" s="1298">
        <v>1.6225000000000001</v>
      </c>
      <c r="D507" s="1349">
        <v>0.99845916795069334</v>
      </c>
      <c r="E507" s="1178">
        <f t="shared" si="7"/>
        <v>3</v>
      </c>
    </row>
    <row r="508" spans="1:5" ht="14.25">
      <c r="A508" s="1298" t="s">
        <v>2371</v>
      </c>
      <c r="B508" s="1298">
        <v>153.52539999999999</v>
      </c>
      <c r="C508" s="1298">
        <v>158.3278</v>
      </c>
      <c r="D508" s="1349">
        <v>0.96966799260774161</v>
      </c>
      <c r="E508" s="1178">
        <f t="shared" si="7"/>
        <v>3</v>
      </c>
    </row>
    <row r="509" spans="1:5" ht="14.25">
      <c r="A509" s="1298" t="s">
        <v>2255</v>
      </c>
      <c r="B509" s="1298">
        <v>147.12649999999999</v>
      </c>
      <c r="C509" s="1298">
        <v>157.7774</v>
      </c>
      <c r="D509" s="1349">
        <v>0.93249413414088456</v>
      </c>
      <c r="E509" s="1178">
        <f t="shared" si="7"/>
        <v>3</v>
      </c>
    </row>
    <row r="510" spans="1:5" ht="14.25">
      <c r="A510" s="1298" t="s">
        <v>2371</v>
      </c>
      <c r="B510" s="1298">
        <v>147.12649999999999</v>
      </c>
      <c r="C510" s="1298">
        <v>157.7774</v>
      </c>
      <c r="D510" s="1349">
        <v>0.93249413414088456</v>
      </c>
      <c r="E510" s="1178">
        <f t="shared" si="7"/>
        <v>3</v>
      </c>
    </row>
    <row r="511" spans="1:5" ht="14.25">
      <c r="A511" s="1298" t="s">
        <v>2255</v>
      </c>
      <c r="B511" s="1298">
        <v>17.838000000000001</v>
      </c>
      <c r="C511" s="1298">
        <v>20.188800000000001</v>
      </c>
      <c r="D511" s="1349">
        <v>0.88355920114122677</v>
      </c>
      <c r="E511" s="1178">
        <f t="shared" si="7"/>
        <v>1.5</v>
      </c>
    </row>
    <row r="512" spans="1:5" ht="14.25">
      <c r="A512" s="1298" t="s">
        <v>2371</v>
      </c>
      <c r="B512" s="1298">
        <v>17.838000000000001</v>
      </c>
      <c r="C512" s="1298">
        <v>20.188800000000001</v>
      </c>
      <c r="D512" s="1349">
        <v>0.88355920114122677</v>
      </c>
      <c r="E512" s="1178">
        <f t="shared" si="7"/>
        <v>1.5</v>
      </c>
    </row>
    <row r="513" spans="1:5" ht="14.25">
      <c r="A513" s="1298" t="s">
        <v>2255</v>
      </c>
      <c r="B513" s="1298">
        <v>46.8414</v>
      </c>
      <c r="C513" s="1298">
        <v>52.064700000000002</v>
      </c>
      <c r="D513" s="1349">
        <v>0.89967674835349098</v>
      </c>
      <c r="E513" s="1178">
        <f t="shared" si="7"/>
        <v>1.5</v>
      </c>
    </row>
    <row r="514" spans="1:5" ht="14.25">
      <c r="A514" s="1298" t="s">
        <v>2370</v>
      </c>
      <c r="B514" s="1298">
        <v>1.8089999999999999</v>
      </c>
      <c r="C514" s="1298">
        <v>1.8105</v>
      </c>
      <c r="D514" s="1349">
        <v>0.9991714995857498</v>
      </c>
      <c r="E514" s="1178">
        <f t="shared" si="7"/>
        <v>3</v>
      </c>
    </row>
    <row r="515" spans="1:5" ht="14.25">
      <c r="A515" s="1298" t="s">
        <v>2371</v>
      </c>
      <c r="B515" s="1298">
        <v>48.650399999999998</v>
      </c>
      <c r="C515" s="1298">
        <v>53.8752</v>
      </c>
      <c r="D515" s="1349">
        <v>0.90302031361368496</v>
      </c>
      <c r="E515" s="1178">
        <f t="shared" ref="E515:E578" si="8">IF(D515&gt;0.9,3,IF(D515&gt;0.8,1.5,0))</f>
        <v>3</v>
      </c>
    </row>
    <row r="516" spans="1:5" ht="14.25">
      <c r="A516" s="1298" t="s">
        <v>2255</v>
      </c>
      <c r="B516" s="1298">
        <v>22.0459</v>
      </c>
      <c r="C516" s="1298">
        <v>28.216899999999999</v>
      </c>
      <c r="D516" s="1349">
        <v>0.78130127689434348</v>
      </c>
      <c r="E516" s="1178">
        <f t="shared" si="8"/>
        <v>0</v>
      </c>
    </row>
    <row r="517" spans="1:5" ht="14.25">
      <c r="A517" s="1298" t="s">
        <v>2371</v>
      </c>
      <c r="B517" s="1298">
        <v>22.0459</v>
      </c>
      <c r="C517" s="1298">
        <v>28.216899999999999</v>
      </c>
      <c r="D517" s="1349">
        <v>0.78130127689434348</v>
      </c>
      <c r="E517" s="1178">
        <f t="shared" si="8"/>
        <v>0</v>
      </c>
    </row>
    <row r="518" spans="1:5" ht="14.25">
      <c r="A518" s="1298" t="s">
        <v>2255</v>
      </c>
      <c r="B518" s="1298">
        <v>60.841099999999997</v>
      </c>
      <c r="C518" s="1298">
        <v>65.174700000000001</v>
      </c>
      <c r="D518" s="1349">
        <v>0.93350794096482226</v>
      </c>
      <c r="E518" s="1178">
        <f t="shared" si="8"/>
        <v>3</v>
      </c>
    </row>
    <row r="519" spans="1:5" ht="14.25">
      <c r="A519" s="1298" t="s">
        <v>2370</v>
      </c>
      <c r="B519" s="1298">
        <v>0.71120000000000005</v>
      </c>
      <c r="C519" s="1298">
        <v>0.70860000000000001</v>
      </c>
      <c r="D519" s="1349">
        <v>1</v>
      </c>
      <c r="E519" s="1178">
        <f t="shared" si="8"/>
        <v>3</v>
      </c>
    </row>
    <row r="520" spans="1:5" ht="14.25">
      <c r="A520" s="1298" t="s">
        <v>2371</v>
      </c>
      <c r="B520" s="1298">
        <v>61.552300000000002</v>
      </c>
      <c r="C520" s="1298">
        <v>65.883300000000006</v>
      </c>
      <c r="D520" s="1349">
        <v>0.93426255211867049</v>
      </c>
      <c r="E520" s="1178">
        <f t="shared" si="8"/>
        <v>3</v>
      </c>
    </row>
    <row r="521" spans="1:5" ht="14.25">
      <c r="A521" s="1298" t="s">
        <v>2255</v>
      </c>
      <c r="B521" s="1298">
        <v>22.2758</v>
      </c>
      <c r="C521" s="1298">
        <v>29.3935</v>
      </c>
      <c r="D521" s="1349">
        <v>0.75784782349839253</v>
      </c>
      <c r="E521" s="1178">
        <f t="shared" si="8"/>
        <v>0</v>
      </c>
    </row>
    <row r="522" spans="1:5" ht="14.25">
      <c r="A522" s="1298" t="s">
        <v>2370</v>
      </c>
      <c r="B522" s="1298">
        <v>0.91349999999999998</v>
      </c>
      <c r="C522" s="1298">
        <v>0.91249999999999998</v>
      </c>
      <c r="D522" s="1349">
        <v>1</v>
      </c>
      <c r="E522" s="1178">
        <f t="shared" si="8"/>
        <v>3</v>
      </c>
    </row>
    <row r="523" spans="1:5" ht="14.25">
      <c r="A523" s="1298" t="s">
        <v>2371</v>
      </c>
      <c r="B523" s="1298">
        <v>23.189299999999999</v>
      </c>
      <c r="C523" s="1298">
        <v>30.306000000000001</v>
      </c>
      <c r="D523" s="1349">
        <v>0.7651719131525111</v>
      </c>
      <c r="E523" s="1178">
        <f t="shared" si="8"/>
        <v>0</v>
      </c>
    </row>
    <row r="524" spans="1:5" ht="14.25">
      <c r="A524" s="1298" t="s">
        <v>2255</v>
      </c>
      <c r="B524" s="1298">
        <v>60.775399999999998</v>
      </c>
      <c r="C524" s="1298">
        <v>74.371799999999993</v>
      </c>
      <c r="D524" s="1349">
        <v>0.81718339478135527</v>
      </c>
      <c r="E524" s="1178">
        <f t="shared" si="8"/>
        <v>1.5</v>
      </c>
    </row>
    <row r="525" spans="1:5" ht="14.25">
      <c r="A525" s="1298" t="s">
        <v>2371</v>
      </c>
      <c r="B525" s="1298">
        <v>60.775399999999998</v>
      </c>
      <c r="C525" s="1298">
        <v>74.371799999999993</v>
      </c>
      <c r="D525" s="1349">
        <v>0.81718339478135527</v>
      </c>
      <c r="E525" s="1178">
        <f t="shared" si="8"/>
        <v>1.5</v>
      </c>
    </row>
    <row r="526" spans="1:5" ht="14.25">
      <c r="A526" s="1298" t="s">
        <v>2255</v>
      </c>
      <c r="B526" s="1298">
        <v>677.39790000000005</v>
      </c>
      <c r="C526" s="1298">
        <v>748.78020000000004</v>
      </c>
      <c r="D526" s="1349">
        <v>0.90466855293449266</v>
      </c>
      <c r="E526" s="1178">
        <f t="shared" si="8"/>
        <v>3</v>
      </c>
    </row>
    <row r="527" spans="1:5" ht="14.25">
      <c r="A527" s="1298" t="s">
        <v>2258</v>
      </c>
      <c r="B527" s="1298">
        <v>384.91629999999998</v>
      </c>
      <c r="C527" s="1298">
        <v>398.53620000000001</v>
      </c>
      <c r="D527" s="1349">
        <v>0.96582518727282485</v>
      </c>
      <c r="E527" s="1178">
        <f t="shared" si="8"/>
        <v>3</v>
      </c>
    </row>
    <row r="528" spans="1:5" ht="14.25">
      <c r="A528" s="1298" t="s">
        <v>2257</v>
      </c>
      <c r="B528" s="1298">
        <v>327.76729999999998</v>
      </c>
      <c r="C528" s="1298">
        <v>349.53210000000001</v>
      </c>
      <c r="D528" s="1349">
        <v>0.93773161320519627</v>
      </c>
      <c r="E528" s="1178">
        <f t="shared" si="8"/>
        <v>3</v>
      </c>
    </row>
    <row r="529" spans="1:5" ht="14.25">
      <c r="A529" s="1298" t="s">
        <v>2370</v>
      </c>
      <c r="B529" s="1298">
        <v>7.8513000000000002</v>
      </c>
      <c r="C529" s="1298">
        <v>7.8526999999999996</v>
      </c>
      <c r="D529" s="1349">
        <v>0.99982171737109526</v>
      </c>
      <c r="E529" s="1178">
        <f t="shared" si="8"/>
        <v>3</v>
      </c>
    </row>
    <row r="530" spans="1:5" ht="14.25">
      <c r="A530" s="1298" t="s">
        <v>2371</v>
      </c>
      <c r="B530" s="1298">
        <v>1397.9328</v>
      </c>
      <c r="C530" s="1298">
        <v>1504.7012</v>
      </c>
      <c r="D530" s="1349">
        <v>0.92904345394288246</v>
      </c>
      <c r="E530" s="1178">
        <f t="shared" si="8"/>
        <v>3</v>
      </c>
    </row>
    <row r="531" spans="1:5" ht="14.25">
      <c r="A531" s="1298" t="s">
        <v>2255</v>
      </c>
      <c r="B531" s="1298">
        <v>19.087800000000001</v>
      </c>
      <c r="C531" s="1298">
        <v>22.381699999999999</v>
      </c>
      <c r="D531" s="1349">
        <v>0.85283066076303404</v>
      </c>
      <c r="E531" s="1178">
        <f t="shared" si="8"/>
        <v>1.5</v>
      </c>
    </row>
    <row r="532" spans="1:5" ht="14.25">
      <c r="A532" s="1298" t="s">
        <v>2258</v>
      </c>
      <c r="B532" s="1298">
        <v>143.0112</v>
      </c>
      <c r="C532" s="1298">
        <v>145.86879999999999</v>
      </c>
      <c r="D532" s="1349">
        <v>0.98040979290979291</v>
      </c>
      <c r="E532" s="1178">
        <f t="shared" si="8"/>
        <v>3</v>
      </c>
    </row>
    <row r="533" spans="1:5" ht="14.25">
      <c r="A533" s="1298" t="s">
        <v>2257</v>
      </c>
      <c r="B533" s="1298">
        <v>0.52869999999999995</v>
      </c>
      <c r="C533" s="1298">
        <v>0.52869999999999995</v>
      </c>
      <c r="D533" s="1349">
        <v>1</v>
      </c>
      <c r="E533" s="1178">
        <f t="shared" si="8"/>
        <v>3</v>
      </c>
    </row>
    <row r="534" spans="1:5" ht="14.25">
      <c r="A534" s="1298" t="s">
        <v>2370</v>
      </c>
      <c r="B534" s="1298">
        <v>3.4247000000000001</v>
      </c>
      <c r="C534" s="1298">
        <v>3.4247000000000001</v>
      </c>
      <c r="D534" s="1349">
        <v>1</v>
      </c>
      <c r="E534" s="1178">
        <f t="shared" si="8"/>
        <v>3</v>
      </c>
    </row>
    <row r="535" spans="1:5" ht="14.25">
      <c r="A535" s="1298" t="s">
        <v>2371</v>
      </c>
      <c r="B535" s="1298">
        <v>166.05240000000001</v>
      </c>
      <c r="C535" s="1298">
        <v>172.2039</v>
      </c>
      <c r="D535" s="1349">
        <v>0.96427781252340972</v>
      </c>
      <c r="E535" s="1178">
        <f t="shared" si="8"/>
        <v>3</v>
      </c>
    </row>
    <row r="536" spans="1:5" ht="14.25">
      <c r="A536" s="1298" t="s">
        <v>2255</v>
      </c>
      <c r="B536" s="1298">
        <v>27.4133</v>
      </c>
      <c r="C536" s="1298">
        <v>28.8477</v>
      </c>
      <c r="D536" s="1349">
        <v>0.95027679849693392</v>
      </c>
      <c r="E536" s="1178">
        <f t="shared" si="8"/>
        <v>3</v>
      </c>
    </row>
    <row r="537" spans="1:5" ht="14.25">
      <c r="A537" s="1298" t="s">
        <v>2370</v>
      </c>
      <c r="B537" s="1298">
        <v>0.78059999999999996</v>
      </c>
      <c r="C537" s="1298">
        <v>0.78059999999999996</v>
      </c>
      <c r="D537" s="1349">
        <v>1</v>
      </c>
      <c r="E537" s="1178">
        <f t="shared" si="8"/>
        <v>3</v>
      </c>
    </row>
    <row r="538" spans="1:5" ht="14.25">
      <c r="A538" s="1298" t="s">
        <v>2371</v>
      </c>
      <c r="B538" s="1298">
        <v>28.193899999999999</v>
      </c>
      <c r="C538" s="1298">
        <v>29.628299999999999</v>
      </c>
      <c r="D538" s="1349">
        <v>0.95158682745888223</v>
      </c>
      <c r="E538" s="1178">
        <f t="shared" si="8"/>
        <v>3</v>
      </c>
    </row>
    <row r="539" spans="1:5" ht="14.25">
      <c r="A539" s="1298" t="s">
        <v>2255</v>
      </c>
      <c r="B539" s="1298">
        <v>54.722200000000001</v>
      </c>
      <c r="C539" s="1298">
        <v>66.742699999999999</v>
      </c>
      <c r="D539" s="1349">
        <v>0.81989790643770777</v>
      </c>
      <c r="E539" s="1178">
        <f t="shared" si="8"/>
        <v>1.5</v>
      </c>
    </row>
    <row r="540" spans="1:5" ht="14.25">
      <c r="A540" s="1298" t="s">
        <v>2370</v>
      </c>
      <c r="B540" s="1298">
        <v>0.37159999999999999</v>
      </c>
      <c r="C540" s="1298">
        <v>0.37159999999999999</v>
      </c>
      <c r="D540" s="1349">
        <v>1</v>
      </c>
      <c r="E540" s="1178">
        <f t="shared" si="8"/>
        <v>3</v>
      </c>
    </row>
    <row r="541" spans="1:5" ht="14.25">
      <c r="A541" s="1298" t="s">
        <v>2371</v>
      </c>
      <c r="B541" s="1298">
        <v>55.093800000000002</v>
      </c>
      <c r="C541" s="1298">
        <v>67.1143</v>
      </c>
      <c r="D541" s="1349">
        <v>0.82089509985204345</v>
      </c>
      <c r="E541" s="1178">
        <f t="shared" si="8"/>
        <v>1.5</v>
      </c>
    </row>
    <row r="542" spans="1:5" ht="14.25">
      <c r="A542" s="1298" t="s">
        <v>2255</v>
      </c>
      <c r="B542" s="1298">
        <v>241.523</v>
      </c>
      <c r="C542" s="1298">
        <v>247.1482</v>
      </c>
      <c r="D542" s="1349">
        <v>0.97723956719085958</v>
      </c>
      <c r="E542" s="1178">
        <f t="shared" si="8"/>
        <v>3</v>
      </c>
    </row>
    <row r="543" spans="1:5" ht="14.25">
      <c r="A543" s="1298" t="s">
        <v>2370</v>
      </c>
      <c r="B543" s="1298">
        <v>0.83030000000000004</v>
      </c>
      <c r="C543" s="1298">
        <v>0.83250000000000002</v>
      </c>
      <c r="D543" s="1349">
        <v>0.99735735735735731</v>
      </c>
      <c r="E543" s="1178">
        <f t="shared" si="8"/>
        <v>3</v>
      </c>
    </row>
    <row r="544" spans="1:5" ht="14.25">
      <c r="A544" s="1298" t="s">
        <v>2371</v>
      </c>
      <c r="B544" s="1298">
        <v>242.35329999999999</v>
      </c>
      <c r="C544" s="1298">
        <v>247.98070000000001</v>
      </c>
      <c r="D544" s="1349">
        <v>0.9773071049480867</v>
      </c>
      <c r="E544" s="1178">
        <f t="shared" si="8"/>
        <v>3</v>
      </c>
    </row>
    <row r="545" spans="1:5" ht="14.25">
      <c r="A545" s="1298" t="s">
        <v>2255</v>
      </c>
      <c r="B545" s="1298">
        <v>17.828399999999998</v>
      </c>
      <c r="C545" s="1298">
        <v>22.079799999999999</v>
      </c>
      <c r="D545" s="1349">
        <v>0.80745296605947514</v>
      </c>
      <c r="E545" s="1178">
        <f t="shared" si="8"/>
        <v>1.5</v>
      </c>
    </row>
    <row r="546" spans="1:5" ht="14.25">
      <c r="A546" s="1298" t="s">
        <v>2370</v>
      </c>
      <c r="B546" s="1298">
        <v>2.2172000000000001</v>
      </c>
      <c r="C546" s="1298">
        <v>2.2172000000000001</v>
      </c>
      <c r="D546" s="1349">
        <v>1</v>
      </c>
      <c r="E546" s="1178">
        <f t="shared" si="8"/>
        <v>3</v>
      </c>
    </row>
    <row r="547" spans="1:5" ht="14.25">
      <c r="A547" s="1298" t="s">
        <v>2371</v>
      </c>
      <c r="B547" s="1298">
        <v>20.0456</v>
      </c>
      <c r="C547" s="1298">
        <v>24.297000000000001</v>
      </c>
      <c r="D547" s="1349">
        <v>0.82502366547310368</v>
      </c>
      <c r="E547" s="1178">
        <f t="shared" si="8"/>
        <v>1.5</v>
      </c>
    </row>
    <row r="548" spans="1:5" ht="14.25">
      <c r="A548" s="1298" t="s">
        <v>2255</v>
      </c>
      <c r="B548" s="1298">
        <v>24.2883</v>
      </c>
      <c r="C548" s="1298">
        <v>25.278500000000001</v>
      </c>
      <c r="D548" s="1349">
        <v>0.96082837193662596</v>
      </c>
      <c r="E548" s="1178">
        <f t="shared" si="8"/>
        <v>3</v>
      </c>
    </row>
    <row r="549" spans="1:5" ht="14.25">
      <c r="A549" s="1298" t="s">
        <v>2371</v>
      </c>
      <c r="B549" s="1298">
        <v>24.2883</v>
      </c>
      <c r="C549" s="1298">
        <v>25.278500000000001</v>
      </c>
      <c r="D549" s="1349">
        <v>0.96082837193662596</v>
      </c>
      <c r="E549" s="1178">
        <f t="shared" si="8"/>
        <v>3</v>
      </c>
    </row>
    <row r="550" spans="1:5" ht="14.25">
      <c r="A550" s="1298" t="s">
        <v>2255</v>
      </c>
      <c r="B550" s="1298">
        <v>225.28299999999999</v>
      </c>
      <c r="C550" s="1298">
        <v>235.32140000000001</v>
      </c>
      <c r="D550" s="1349">
        <v>0.95734174622452528</v>
      </c>
      <c r="E550" s="1178">
        <f t="shared" si="8"/>
        <v>3</v>
      </c>
    </row>
    <row r="551" spans="1:5" ht="14.25">
      <c r="A551" s="1298" t="s">
        <v>2370</v>
      </c>
      <c r="B551" s="1298">
        <v>1.6247</v>
      </c>
      <c r="C551" s="1298">
        <v>1.6241000000000001</v>
      </c>
      <c r="D551" s="1349">
        <v>1</v>
      </c>
      <c r="E551" s="1178">
        <f t="shared" si="8"/>
        <v>3</v>
      </c>
    </row>
    <row r="552" spans="1:5" ht="14.25">
      <c r="A552" s="1298" t="s">
        <v>2371</v>
      </c>
      <c r="B552" s="1298">
        <v>226.90770000000001</v>
      </c>
      <c r="C552" s="1298">
        <v>236.94550000000001</v>
      </c>
      <c r="D552" s="1349">
        <v>0.9576366717240884</v>
      </c>
      <c r="E552" s="1178">
        <f t="shared" si="8"/>
        <v>3</v>
      </c>
    </row>
    <row r="553" spans="1:5" ht="14.25">
      <c r="A553" s="1298" t="s">
        <v>2255</v>
      </c>
      <c r="B553" s="1298">
        <v>45.6905</v>
      </c>
      <c r="C553" s="1298">
        <v>52.182499999999997</v>
      </c>
      <c r="D553" s="1349">
        <v>0.87559047573420212</v>
      </c>
      <c r="E553" s="1178">
        <f t="shared" si="8"/>
        <v>1.5</v>
      </c>
    </row>
    <row r="554" spans="1:5" ht="14.25">
      <c r="A554" s="1298" t="s">
        <v>2370</v>
      </c>
      <c r="B554" s="1298">
        <v>0.88600000000000001</v>
      </c>
      <c r="C554" s="1298">
        <v>1.3876999999999999</v>
      </c>
      <c r="D554" s="1349">
        <v>0.63846652734740938</v>
      </c>
      <c r="E554" s="1178">
        <f t="shared" si="8"/>
        <v>0</v>
      </c>
    </row>
    <row r="555" spans="1:5" ht="14.25">
      <c r="A555" s="1298" t="s">
        <v>2371</v>
      </c>
      <c r="B555" s="1298">
        <v>46.576500000000003</v>
      </c>
      <c r="C555" s="1298">
        <v>53.5702</v>
      </c>
      <c r="D555" s="1349">
        <v>0.86944793933940889</v>
      </c>
      <c r="E555" s="1178">
        <f t="shared" si="8"/>
        <v>1.5</v>
      </c>
    </row>
    <row r="556" spans="1:5" ht="14.25">
      <c r="A556" s="1298" t="s">
        <v>2255</v>
      </c>
      <c r="B556" s="1298">
        <v>9.2169000000000008</v>
      </c>
      <c r="C556" s="1298">
        <v>10.267300000000001</v>
      </c>
      <c r="D556" s="1349">
        <v>0.89769462273431189</v>
      </c>
      <c r="E556" s="1178">
        <f t="shared" si="8"/>
        <v>1.5</v>
      </c>
    </row>
    <row r="557" spans="1:5" ht="14.25">
      <c r="A557" s="1298" t="s">
        <v>2371</v>
      </c>
      <c r="B557" s="1298">
        <v>9.2169000000000008</v>
      </c>
      <c r="C557" s="1298">
        <v>10.267300000000001</v>
      </c>
      <c r="D557" s="1349">
        <v>0.89769462273431189</v>
      </c>
      <c r="E557" s="1178">
        <f t="shared" si="8"/>
        <v>1.5</v>
      </c>
    </row>
    <row r="558" spans="1:5" ht="14.25">
      <c r="A558" s="1298" t="s">
        <v>2255</v>
      </c>
      <c r="B558" s="1298">
        <v>665.05340000000001</v>
      </c>
      <c r="C558" s="1298">
        <v>710.24980000000005</v>
      </c>
      <c r="D558" s="1349">
        <v>0.93636548718493129</v>
      </c>
      <c r="E558" s="1178">
        <f t="shared" si="8"/>
        <v>3</v>
      </c>
    </row>
    <row r="559" spans="1:5" ht="14.25">
      <c r="A559" s="1298" t="s">
        <v>2258</v>
      </c>
      <c r="B559" s="1298">
        <v>143.0112</v>
      </c>
      <c r="C559" s="1298">
        <v>145.86879999999999</v>
      </c>
      <c r="D559" s="1349">
        <v>0.98040979290979291</v>
      </c>
      <c r="E559" s="1178">
        <f t="shared" si="8"/>
        <v>3</v>
      </c>
    </row>
    <row r="560" spans="1:5" ht="14.25">
      <c r="A560" s="1298" t="s">
        <v>2257</v>
      </c>
      <c r="B560" s="1298">
        <v>0.52869999999999995</v>
      </c>
      <c r="C560" s="1298">
        <v>0.52869999999999995</v>
      </c>
      <c r="D560" s="1349">
        <v>1</v>
      </c>
      <c r="E560" s="1178">
        <f t="shared" si="8"/>
        <v>3</v>
      </c>
    </row>
    <row r="561" spans="1:5" ht="14.25">
      <c r="A561" s="1298" t="s">
        <v>2370</v>
      </c>
      <c r="B561" s="1298">
        <v>10.1351</v>
      </c>
      <c r="C561" s="1298">
        <v>10.638400000000001</v>
      </c>
      <c r="D561" s="1349">
        <v>0.9526902541735599</v>
      </c>
      <c r="E561" s="1178">
        <f t="shared" si="8"/>
        <v>3</v>
      </c>
    </row>
    <row r="562" spans="1:5" ht="14.25">
      <c r="A562" s="1298" t="s">
        <v>2371</v>
      </c>
      <c r="B562" s="1298">
        <v>818.72839999999997</v>
      </c>
      <c r="C562" s="1298">
        <v>867.28570000000002</v>
      </c>
      <c r="D562" s="1349">
        <v>0.94401233641924454</v>
      </c>
      <c r="E562" s="1178">
        <f t="shared" si="8"/>
        <v>3</v>
      </c>
    </row>
    <row r="563" spans="1:5" ht="14.25">
      <c r="A563" s="1298" t="s">
        <v>2255</v>
      </c>
      <c r="B563" s="1298">
        <v>157.3904</v>
      </c>
      <c r="C563" s="1298">
        <v>171.21530000000001</v>
      </c>
      <c r="D563" s="1349">
        <v>0.91925429561493632</v>
      </c>
      <c r="E563" s="1178">
        <f t="shared" si="8"/>
        <v>3</v>
      </c>
    </row>
    <row r="564" spans="1:5" ht="14.25">
      <c r="A564" s="1298" t="s">
        <v>2258</v>
      </c>
      <c r="B564" s="1298">
        <v>721.19820000000004</v>
      </c>
      <c r="C564" s="1298">
        <v>776.94359999999995</v>
      </c>
      <c r="D564" s="1349">
        <v>0.92825039037582646</v>
      </c>
      <c r="E564" s="1178">
        <f t="shared" si="8"/>
        <v>3</v>
      </c>
    </row>
    <row r="565" spans="1:5" ht="14.25">
      <c r="A565" s="1298" t="s">
        <v>2370</v>
      </c>
      <c r="B565" s="1298">
        <v>3.0510999999999999</v>
      </c>
      <c r="C565" s="1298">
        <v>3.3814000000000002</v>
      </c>
      <c r="D565" s="1349">
        <v>0.90231856627432427</v>
      </c>
      <c r="E565" s="1178">
        <f t="shared" si="8"/>
        <v>3</v>
      </c>
    </row>
    <row r="566" spans="1:5" ht="14.25">
      <c r="A566" s="1298" t="s">
        <v>2371</v>
      </c>
      <c r="B566" s="1298">
        <v>881.63969999999995</v>
      </c>
      <c r="C566" s="1298">
        <v>951.5403</v>
      </c>
      <c r="D566" s="1349">
        <v>0.92653952754286917</v>
      </c>
      <c r="E566" s="1178">
        <f t="shared" si="8"/>
        <v>3</v>
      </c>
    </row>
    <row r="567" spans="1:5" ht="14.25">
      <c r="A567" s="1298" t="s">
        <v>2255</v>
      </c>
      <c r="B567" s="1298">
        <v>16.101800000000001</v>
      </c>
      <c r="C567" s="1298">
        <v>18.1797</v>
      </c>
      <c r="D567" s="1349">
        <v>0.88570218430447145</v>
      </c>
      <c r="E567" s="1178">
        <f t="shared" si="8"/>
        <v>1.5</v>
      </c>
    </row>
    <row r="568" spans="1:5" ht="14.25">
      <c r="A568" s="1298" t="s">
        <v>2371</v>
      </c>
      <c r="B568" s="1298">
        <v>16.101800000000001</v>
      </c>
      <c r="C568" s="1298">
        <v>18.1797</v>
      </c>
      <c r="D568" s="1349">
        <v>0.88570218430447145</v>
      </c>
      <c r="E568" s="1178">
        <f t="shared" si="8"/>
        <v>1.5</v>
      </c>
    </row>
    <row r="569" spans="1:5" ht="14.25">
      <c r="A569" s="1298" t="s">
        <v>2255</v>
      </c>
      <c r="B569" s="1298">
        <v>111.331</v>
      </c>
      <c r="C569" s="1298">
        <v>127.4817</v>
      </c>
      <c r="D569" s="1349">
        <v>0.87330965934718474</v>
      </c>
      <c r="E569" s="1178">
        <f t="shared" si="8"/>
        <v>1.5</v>
      </c>
    </row>
    <row r="570" spans="1:5" ht="14.25">
      <c r="A570" s="1298" t="s">
        <v>2370</v>
      </c>
      <c r="B570" s="1298">
        <v>0.20810000000000001</v>
      </c>
      <c r="C570" s="1298">
        <v>0.20810000000000001</v>
      </c>
      <c r="D570" s="1349">
        <v>1</v>
      </c>
      <c r="E570" s="1178">
        <f t="shared" si="8"/>
        <v>3</v>
      </c>
    </row>
    <row r="571" spans="1:5" ht="14.25">
      <c r="A571" s="1298" t="s">
        <v>2371</v>
      </c>
      <c r="B571" s="1298">
        <v>111.5391</v>
      </c>
      <c r="C571" s="1298">
        <v>127.68980000000001</v>
      </c>
      <c r="D571" s="1349">
        <v>0.87351613049750254</v>
      </c>
      <c r="E571" s="1178">
        <f t="shared" si="8"/>
        <v>1.5</v>
      </c>
    </row>
    <row r="572" spans="1:5" ht="14.25">
      <c r="A572" s="1298" t="s">
        <v>2255</v>
      </c>
      <c r="B572" s="1298">
        <v>52.548200000000001</v>
      </c>
      <c r="C572" s="1298">
        <v>58.173699999999997</v>
      </c>
      <c r="D572" s="1349">
        <v>0.90329822583057295</v>
      </c>
      <c r="E572" s="1178">
        <f t="shared" si="8"/>
        <v>3</v>
      </c>
    </row>
    <row r="573" spans="1:5" ht="14.25">
      <c r="A573" s="1298" t="s">
        <v>2370</v>
      </c>
      <c r="B573" s="1298">
        <v>2.1743999999999999</v>
      </c>
      <c r="C573" s="1298">
        <v>2.2056</v>
      </c>
      <c r="D573" s="1349">
        <v>0.98585418933623503</v>
      </c>
      <c r="E573" s="1178">
        <f t="shared" si="8"/>
        <v>3</v>
      </c>
    </row>
    <row r="574" spans="1:5" ht="14.25">
      <c r="A574" s="1298" t="s">
        <v>2371</v>
      </c>
      <c r="B574" s="1298">
        <v>54.7226</v>
      </c>
      <c r="C574" s="1298">
        <v>60.379300000000001</v>
      </c>
      <c r="D574" s="1349">
        <v>0.90631391884304724</v>
      </c>
      <c r="E574" s="1178">
        <f t="shared" si="8"/>
        <v>3</v>
      </c>
    </row>
    <row r="575" spans="1:5" ht="14.25">
      <c r="A575" s="1298" t="s">
        <v>2255</v>
      </c>
      <c r="B575" s="1298">
        <v>34.635599999999997</v>
      </c>
      <c r="C575" s="1298">
        <v>40.008499999999998</v>
      </c>
      <c r="D575" s="1349">
        <v>0.86570603746703823</v>
      </c>
      <c r="E575" s="1178">
        <f t="shared" si="8"/>
        <v>1.5</v>
      </c>
    </row>
    <row r="576" spans="1:5" ht="14.25">
      <c r="A576" s="1298" t="s">
        <v>2370</v>
      </c>
      <c r="B576" s="1298">
        <v>1.5088999999999999</v>
      </c>
      <c r="C576" s="1298">
        <v>1.5088999999999999</v>
      </c>
      <c r="D576" s="1349">
        <v>1</v>
      </c>
      <c r="E576" s="1178">
        <f t="shared" si="8"/>
        <v>3</v>
      </c>
    </row>
    <row r="577" spans="1:5" ht="14.25">
      <c r="A577" s="1298" t="s">
        <v>2371</v>
      </c>
      <c r="B577" s="1298">
        <v>36.144500000000001</v>
      </c>
      <c r="C577" s="1298">
        <v>41.517400000000002</v>
      </c>
      <c r="D577" s="1349">
        <v>0.87058679011691487</v>
      </c>
      <c r="E577" s="1178">
        <f t="shared" si="8"/>
        <v>1.5</v>
      </c>
    </row>
    <row r="578" spans="1:5" ht="14.25">
      <c r="A578" s="1298" t="s">
        <v>2255</v>
      </c>
      <c r="B578" s="1298">
        <v>52.687800000000003</v>
      </c>
      <c r="C578" s="1298">
        <v>59.066099999999999</v>
      </c>
      <c r="D578" s="1349">
        <v>0.89201420103917473</v>
      </c>
      <c r="E578" s="1178">
        <f t="shared" si="8"/>
        <v>1.5</v>
      </c>
    </row>
    <row r="579" spans="1:5" ht="14.25">
      <c r="A579" s="1298" t="s">
        <v>2371</v>
      </c>
      <c r="B579" s="1298">
        <v>52.687800000000003</v>
      </c>
      <c r="C579" s="1298">
        <v>59.066099999999999</v>
      </c>
      <c r="D579" s="1349">
        <v>0.89201420103917473</v>
      </c>
      <c r="E579" s="1178">
        <f t="shared" ref="E579:E642" si="9">IF(D579&gt;0.9,3,IF(D579&gt;0.8,1.5,0))</f>
        <v>1.5</v>
      </c>
    </row>
    <row r="580" spans="1:5" ht="14.25">
      <c r="A580" s="1298" t="s">
        <v>2255</v>
      </c>
      <c r="B580" s="1298">
        <v>158.53749999999999</v>
      </c>
      <c r="C580" s="1298">
        <v>171.3501</v>
      </c>
      <c r="D580" s="1349">
        <v>0.92522560535418419</v>
      </c>
      <c r="E580" s="1178">
        <f t="shared" si="9"/>
        <v>3</v>
      </c>
    </row>
    <row r="581" spans="1:5" ht="14.25">
      <c r="A581" s="1298" t="s">
        <v>2371</v>
      </c>
      <c r="B581" s="1298">
        <v>158.53749999999999</v>
      </c>
      <c r="C581" s="1298">
        <v>171.3501</v>
      </c>
      <c r="D581" s="1349">
        <v>0.92522560535418419</v>
      </c>
      <c r="E581" s="1178">
        <f t="shared" si="9"/>
        <v>3</v>
      </c>
    </row>
    <row r="582" spans="1:5" ht="14.25">
      <c r="A582" s="1298" t="s">
        <v>2255</v>
      </c>
      <c r="B582" s="1298">
        <v>34.0702</v>
      </c>
      <c r="C582" s="1298">
        <v>37.466500000000003</v>
      </c>
      <c r="D582" s="1349">
        <v>0.90935102024475201</v>
      </c>
      <c r="E582" s="1178">
        <f t="shared" si="9"/>
        <v>3</v>
      </c>
    </row>
    <row r="583" spans="1:5" ht="14.25">
      <c r="A583" s="1298" t="s">
        <v>2371</v>
      </c>
      <c r="B583" s="1298">
        <v>34.0702</v>
      </c>
      <c r="C583" s="1298">
        <v>37.466500000000003</v>
      </c>
      <c r="D583" s="1349">
        <v>0.90935102024475201</v>
      </c>
      <c r="E583" s="1178">
        <f t="shared" si="9"/>
        <v>3</v>
      </c>
    </row>
    <row r="584" spans="1:5" ht="14.25">
      <c r="A584" s="1298" t="s">
        <v>2255</v>
      </c>
      <c r="B584" s="1298">
        <v>18.6675</v>
      </c>
      <c r="C584" s="1298">
        <v>21.0962</v>
      </c>
      <c r="D584" s="1349">
        <v>0.88487500118504758</v>
      </c>
      <c r="E584" s="1178">
        <f t="shared" si="9"/>
        <v>1.5</v>
      </c>
    </row>
    <row r="585" spans="1:5" ht="14.25">
      <c r="A585" s="1298" t="s">
        <v>2371</v>
      </c>
      <c r="B585" s="1298">
        <v>18.6675</v>
      </c>
      <c r="C585" s="1298">
        <v>21.0962</v>
      </c>
      <c r="D585" s="1349">
        <v>0.88487500118504758</v>
      </c>
      <c r="E585" s="1178">
        <f t="shared" si="9"/>
        <v>1.5</v>
      </c>
    </row>
    <row r="586" spans="1:5" ht="14.25">
      <c r="A586" s="1298" t="s">
        <v>2255</v>
      </c>
      <c r="B586" s="1298">
        <v>635.97</v>
      </c>
      <c r="C586" s="1298">
        <v>704.03779999999995</v>
      </c>
      <c r="D586" s="1349">
        <v>0.9033179752564422</v>
      </c>
      <c r="E586" s="1178">
        <f t="shared" si="9"/>
        <v>3</v>
      </c>
    </row>
    <row r="587" spans="1:5" ht="14.25">
      <c r="A587" s="1298" t="s">
        <v>2258</v>
      </c>
      <c r="B587" s="1298">
        <v>721.19820000000004</v>
      </c>
      <c r="C587" s="1298">
        <v>776.94359999999995</v>
      </c>
      <c r="D587" s="1349">
        <v>0.92825039037582646</v>
      </c>
      <c r="E587" s="1178">
        <f t="shared" si="9"/>
        <v>3</v>
      </c>
    </row>
    <row r="588" spans="1:5" ht="14.25">
      <c r="A588" s="1298" t="s">
        <v>2370</v>
      </c>
      <c r="B588" s="1298">
        <v>6.9424999999999999</v>
      </c>
      <c r="C588" s="1298">
        <v>7.3040000000000003</v>
      </c>
      <c r="D588" s="1349">
        <v>0.95050657174151154</v>
      </c>
      <c r="E588" s="1178">
        <f t="shared" si="9"/>
        <v>3</v>
      </c>
    </row>
    <row r="589" spans="1:5" ht="14.25">
      <c r="A589" s="1298" t="s">
        <v>2371</v>
      </c>
      <c r="B589" s="1298">
        <v>1364.1107</v>
      </c>
      <c r="C589" s="1298">
        <v>1488.2854</v>
      </c>
      <c r="D589" s="1349">
        <v>0.9165652636248397</v>
      </c>
      <c r="E589" s="1178">
        <f t="shared" si="9"/>
        <v>3</v>
      </c>
    </row>
    <row r="590" spans="1:5" ht="14.25">
      <c r="A590" s="1298" t="s">
        <v>2255</v>
      </c>
      <c r="B590" s="1298">
        <v>16.7212</v>
      </c>
      <c r="C590" s="1298">
        <v>18.767800000000001</v>
      </c>
      <c r="D590" s="1349">
        <v>0.89095152335382943</v>
      </c>
      <c r="E590" s="1178">
        <f t="shared" si="9"/>
        <v>1.5</v>
      </c>
    </row>
    <row r="591" spans="1:5" ht="14.25">
      <c r="A591" s="1298" t="s">
        <v>2257</v>
      </c>
      <c r="B591" s="1298">
        <v>24.7104</v>
      </c>
      <c r="C591" s="1298">
        <v>24.7104</v>
      </c>
      <c r="D591" s="1349">
        <v>1</v>
      </c>
      <c r="E591" s="1178">
        <f t="shared" si="9"/>
        <v>3</v>
      </c>
    </row>
    <row r="592" spans="1:5" ht="14.25">
      <c r="A592" s="1298" t="s">
        <v>2370</v>
      </c>
      <c r="B592" s="1298">
        <v>0.44750000000000001</v>
      </c>
      <c r="C592" s="1298">
        <v>0.44750000000000001</v>
      </c>
      <c r="D592" s="1349">
        <v>1</v>
      </c>
      <c r="E592" s="1178">
        <f t="shared" si="9"/>
        <v>3</v>
      </c>
    </row>
    <row r="593" spans="1:5" ht="14.25">
      <c r="A593" s="1298" t="s">
        <v>2371</v>
      </c>
      <c r="B593" s="1298">
        <v>41.879100000000001</v>
      </c>
      <c r="C593" s="1298">
        <v>43.925699999999999</v>
      </c>
      <c r="D593" s="1349">
        <v>0.95340768616094906</v>
      </c>
      <c r="E593" s="1178">
        <f t="shared" si="9"/>
        <v>3</v>
      </c>
    </row>
    <row r="594" spans="1:5" ht="14.25">
      <c r="A594" s="1298" t="s">
        <v>2255</v>
      </c>
      <c r="B594" s="1298">
        <v>56.353900000000003</v>
      </c>
      <c r="C594" s="1298">
        <v>61.5077</v>
      </c>
      <c r="D594" s="1349">
        <v>0.91620886490634501</v>
      </c>
      <c r="E594" s="1178">
        <f t="shared" si="9"/>
        <v>3</v>
      </c>
    </row>
    <row r="595" spans="1:5" ht="14.25">
      <c r="A595" s="1298" t="s">
        <v>2370</v>
      </c>
      <c r="B595" s="1298">
        <v>0.98109999999999997</v>
      </c>
      <c r="C595" s="1298">
        <v>0.98109999999999997</v>
      </c>
      <c r="D595" s="1349">
        <v>1</v>
      </c>
      <c r="E595" s="1178">
        <f t="shared" si="9"/>
        <v>3</v>
      </c>
    </row>
    <row r="596" spans="1:5" ht="14.25">
      <c r="A596" s="1298" t="s">
        <v>2371</v>
      </c>
      <c r="B596" s="1298">
        <v>57.335000000000001</v>
      </c>
      <c r="C596" s="1298">
        <v>62.488799999999998</v>
      </c>
      <c r="D596" s="1349">
        <v>0.91752442037613136</v>
      </c>
      <c r="E596" s="1178">
        <f t="shared" si="9"/>
        <v>3</v>
      </c>
    </row>
    <row r="597" spans="1:5" ht="14.25">
      <c r="A597" s="1298" t="s">
        <v>2255</v>
      </c>
      <c r="B597" s="1298">
        <v>47.821300000000001</v>
      </c>
      <c r="C597" s="1298">
        <v>54.863999999999997</v>
      </c>
      <c r="D597" s="1349">
        <v>0.87163349372995047</v>
      </c>
      <c r="E597" s="1178">
        <f t="shared" si="9"/>
        <v>1.5</v>
      </c>
    </row>
    <row r="598" spans="1:5" ht="14.25">
      <c r="A598" s="1298" t="s">
        <v>2371</v>
      </c>
      <c r="B598" s="1298">
        <v>47.821300000000001</v>
      </c>
      <c r="C598" s="1298">
        <v>54.863999999999997</v>
      </c>
      <c r="D598" s="1349">
        <v>0.87163349372995047</v>
      </c>
      <c r="E598" s="1178">
        <f t="shared" si="9"/>
        <v>1.5</v>
      </c>
    </row>
    <row r="599" spans="1:5" ht="14.25">
      <c r="A599" s="1298" t="s">
        <v>2255</v>
      </c>
      <c r="B599" s="1298">
        <v>29.593699999999998</v>
      </c>
      <c r="C599" s="1298">
        <v>42.580399999999997</v>
      </c>
      <c r="D599" s="1349">
        <v>0.6950075621647519</v>
      </c>
      <c r="E599" s="1178">
        <f t="shared" si="9"/>
        <v>0</v>
      </c>
    </row>
    <row r="600" spans="1:5" ht="14.25">
      <c r="A600" s="1298" t="s">
        <v>2371</v>
      </c>
      <c r="B600" s="1298">
        <v>29.593699999999998</v>
      </c>
      <c r="C600" s="1298">
        <v>42.580399999999997</v>
      </c>
      <c r="D600" s="1349">
        <v>0.6950075621647519</v>
      </c>
      <c r="E600" s="1178">
        <f t="shared" si="9"/>
        <v>0</v>
      </c>
    </row>
    <row r="601" spans="1:5" ht="14.25">
      <c r="A601" s="1298" t="s">
        <v>2255</v>
      </c>
      <c r="B601" s="1298">
        <v>150.49010000000001</v>
      </c>
      <c r="C601" s="1298">
        <v>177.7199</v>
      </c>
      <c r="D601" s="1349">
        <v>0.84678249312541809</v>
      </c>
      <c r="E601" s="1178">
        <f t="shared" si="9"/>
        <v>1.5</v>
      </c>
    </row>
    <row r="602" spans="1:5" ht="14.25">
      <c r="A602" s="1298" t="s">
        <v>2257</v>
      </c>
      <c r="B602" s="1298">
        <v>24.7104</v>
      </c>
      <c r="C602" s="1298">
        <v>24.7104</v>
      </c>
      <c r="D602" s="1349">
        <v>1</v>
      </c>
      <c r="E602" s="1178">
        <f t="shared" si="9"/>
        <v>3</v>
      </c>
    </row>
    <row r="603" spans="1:5" ht="14.25">
      <c r="A603" s="1298" t="s">
        <v>2370</v>
      </c>
      <c r="B603" s="1298">
        <v>1.4286000000000001</v>
      </c>
      <c r="C603" s="1298">
        <v>1.4286000000000001</v>
      </c>
      <c r="D603" s="1349">
        <v>1</v>
      </c>
      <c r="E603" s="1178">
        <f t="shared" si="9"/>
        <v>3</v>
      </c>
    </row>
    <row r="604" spans="1:5" ht="14.25">
      <c r="A604" s="1298" t="s">
        <v>2371</v>
      </c>
      <c r="B604" s="1298">
        <v>176.62909999999999</v>
      </c>
      <c r="C604" s="1298">
        <v>203.85890000000001</v>
      </c>
      <c r="D604" s="1349">
        <v>0.86642820107437057</v>
      </c>
      <c r="E604" s="1178">
        <f t="shared" si="9"/>
        <v>1.5</v>
      </c>
    </row>
    <row r="605" spans="1:5" ht="14.25">
      <c r="A605" s="1298" t="s">
        <v>2255</v>
      </c>
      <c r="B605" s="1298">
        <v>269.51479999999998</v>
      </c>
      <c r="C605" s="1298">
        <v>290.82510000000002</v>
      </c>
      <c r="D605" s="1349">
        <v>0.92672468779345385</v>
      </c>
      <c r="E605" s="1178">
        <f t="shared" si="9"/>
        <v>3</v>
      </c>
    </row>
    <row r="606" spans="1:5" ht="14.25">
      <c r="A606" s="1298" t="s">
        <v>2258</v>
      </c>
      <c r="B606" s="1298">
        <v>62.254199999999997</v>
      </c>
      <c r="C606" s="1298">
        <v>68.7624</v>
      </c>
      <c r="D606" s="1349">
        <v>0.90535234372273221</v>
      </c>
      <c r="E606" s="1178">
        <f t="shared" si="9"/>
        <v>3</v>
      </c>
    </row>
    <row r="607" spans="1:5" ht="14.25">
      <c r="A607" s="1298" t="s">
        <v>2257</v>
      </c>
      <c r="B607" s="1298">
        <v>131.68719999999999</v>
      </c>
      <c r="C607" s="1298">
        <v>161.876</v>
      </c>
      <c r="D607" s="1349">
        <v>0.81350663470804818</v>
      </c>
      <c r="E607" s="1178">
        <f t="shared" si="9"/>
        <v>1.5</v>
      </c>
    </row>
    <row r="608" spans="1:5" ht="14.25">
      <c r="A608" s="1298" t="s">
        <v>2370</v>
      </c>
      <c r="B608" s="1298">
        <v>3.4954999999999998</v>
      </c>
      <c r="C608" s="1298">
        <v>3.4929999999999999</v>
      </c>
      <c r="D608" s="1349">
        <v>1</v>
      </c>
      <c r="E608" s="1178">
        <f t="shared" si="9"/>
        <v>3</v>
      </c>
    </row>
    <row r="609" spans="1:5" ht="14.25">
      <c r="A609" s="1298" t="s">
        <v>2371</v>
      </c>
      <c r="B609" s="1298">
        <v>466.95170000000002</v>
      </c>
      <c r="C609" s="1298">
        <v>524.95650000000001</v>
      </c>
      <c r="D609" s="1349">
        <v>0.88950551140904055</v>
      </c>
      <c r="E609" s="1178">
        <f t="shared" si="9"/>
        <v>1.5</v>
      </c>
    </row>
    <row r="610" spans="1:5" ht="14.25">
      <c r="A610" s="1298" t="s">
        <v>2255</v>
      </c>
      <c r="B610" s="1298">
        <v>44.753</v>
      </c>
      <c r="C610" s="1298">
        <v>47.395000000000003</v>
      </c>
      <c r="D610" s="1349">
        <v>0.94425572317755035</v>
      </c>
      <c r="E610" s="1178">
        <f t="shared" si="9"/>
        <v>3</v>
      </c>
    </row>
    <row r="611" spans="1:5" ht="14.25">
      <c r="A611" s="1298" t="s">
        <v>2257</v>
      </c>
      <c r="B611" s="1298">
        <v>49.542000000000002</v>
      </c>
      <c r="C611" s="1298">
        <v>52.019599999999997</v>
      </c>
      <c r="D611" s="1349">
        <v>0.95237179832217089</v>
      </c>
      <c r="E611" s="1178">
        <f t="shared" si="9"/>
        <v>3</v>
      </c>
    </row>
    <row r="612" spans="1:5" ht="14.25">
      <c r="A612" s="1298" t="s">
        <v>2370</v>
      </c>
      <c r="B612" s="1298">
        <v>1.0405</v>
      </c>
      <c r="C612" s="1298">
        <v>1.0415000000000001</v>
      </c>
      <c r="D612" s="1349">
        <v>0.99903984637542009</v>
      </c>
      <c r="E612" s="1178">
        <f t="shared" si="9"/>
        <v>3</v>
      </c>
    </row>
    <row r="613" spans="1:5" ht="14.25">
      <c r="A613" s="1298" t="s">
        <v>2371</v>
      </c>
      <c r="B613" s="1298">
        <v>95.335499999999996</v>
      </c>
      <c r="C613" s="1298">
        <v>100.45610000000001</v>
      </c>
      <c r="D613" s="1349">
        <v>0.94902649017829677</v>
      </c>
      <c r="E613" s="1178">
        <f t="shared" si="9"/>
        <v>3</v>
      </c>
    </row>
    <row r="614" spans="1:5" ht="14.25">
      <c r="A614" s="1298" t="s">
        <v>2255</v>
      </c>
      <c r="B614" s="1298">
        <v>35.322699999999998</v>
      </c>
      <c r="C614" s="1298">
        <v>37.1753</v>
      </c>
      <c r="D614" s="1349">
        <v>0.9501658359179348</v>
      </c>
      <c r="E614" s="1178">
        <f t="shared" si="9"/>
        <v>3</v>
      </c>
    </row>
    <row r="615" spans="1:5" ht="14.25">
      <c r="A615" s="1298" t="s">
        <v>2371</v>
      </c>
      <c r="B615" s="1298">
        <v>35.322699999999998</v>
      </c>
      <c r="C615" s="1298">
        <v>37.1753</v>
      </c>
      <c r="D615" s="1349">
        <v>0.9501658359179348</v>
      </c>
      <c r="E615" s="1178">
        <f t="shared" si="9"/>
        <v>3</v>
      </c>
    </row>
    <row r="616" spans="1:5" ht="14.25">
      <c r="A616" s="1298" t="s">
        <v>2255</v>
      </c>
      <c r="B616" s="1298">
        <v>92.042100000000005</v>
      </c>
      <c r="C616" s="1298">
        <v>101.6853</v>
      </c>
      <c r="D616" s="1349">
        <v>0.90516623346737435</v>
      </c>
      <c r="E616" s="1178">
        <f t="shared" si="9"/>
        <v>3</v>
      </c>
    </row>
    <row r="617" spans="1:5" ht="14.25">
      <c r="A617" s="1298" t="s">
        <v>2371</v>
      </c>
      <c r="B617" s="1298">
        <v>92.042100000000005</v>
      </c>
      <c r="C617" s="1298">
        <v>101.6853</v>
      </c>
      <c r="D617" s="1349">
        <v>0.90516623346737435</v>
      </c>
      <c r="E617" s="1178">
        <f t="shared" si="9"/>
        <v>3</v>
      </c>
    </row>
    <row r="618" spans="1:5" ht="14.25">
      <c r="A618" s="1298" t="s">
        <v>2255</v>
      </c>
      <c r="B618" s="1298">
        <v>11.577</v>
      </c>
      <c r="C618" s="1298">
        <v>14.4603</v>
      </c>
      <c r="D618" s="1349">
        <v>0.80060579656023734</v>
      </c>
      <c r="E618" s="1178">
        <f t="shared" si="9"/>
        <v>1.5</v>
      </c>
    </row>
    <row r="619" spans="1:5" ht="14.25">
      <c r="A619" s="1298" t="s">
        <v>2371</v>
      </c>
      <c r="B619" s="1298">
        <v>11.577</v>
      </c>
      <c r="C619" s="1298">
        <v>14.4603</v>
      </c>
      <c r="D619" s="1349">
        <v>0.80060579656023734</v>
      </c>
      <c r="E619" s="1178">
        <f t="shared" si="9"/>
        <v>1.5</v>
      </c>
    </row>
    <row r="620" spans="1:5" ht="14.25">
      <c r="A620" s="1298" t="s">
        <v>2255</v>
      </c>
      <c r="B620" s="1298">
        <v>21.7179</v>
      </c>
      <c r="C620" s="1298">
        <v>24.6128</v>
      </c>
      <c r="D620" s="1349">
        <v>0.88238233764545282</v>
      </c>
      <c r="E620" s="1178">
        <f t="shared" si="9"/>
        <v>1.5</v>
      </c>
    </row>
    <row r="621" spans="1:5" ht="14.25">
      <c r="A621" s="1298" t="s">
        <v>2371</v>
      </c>
      <c r="B621" s="1298">
        <v>21.7179</v>
      </c>
      <c r="C621" s="1298">
        <v>24.6128</v>
      </c>
      <c r="D621" s="1349">
        <v>0.88238233764545282</v>
      </c>
      <c r="E621" s="1178">
        <f t="shared" si="9"/>
        <v>1.5</v>
      </c>
    </row>
    <row r="622" spans="1:5" ht="14.25">
      <c r="A622" s="1298" t="s">
        <v>2255</v>
      </c>
      <c r="B622" s="1298">
        <v>21.861999999999998</v>
      </c>
      <c r="C622" s="1298">
        <v>28.8355</v>
      </c>
      <c r="D622" s="1349">
        <v>0.75816268141700338</v>
      </c>
      <c r="E622" s="1178">
        <f t="shared" si="9"/>
        <v>0</v>
      </c>
    </row>
    <row r="623" spans="1:5" ht="14.25">
      <c r="A623" s="1298" t="s">
        <v>2371</v>
      </c>
      <c r="B623" s="1298">
        <v>21.861999999999998</v>
      </c>
      <c r="C623" s="1298">
        <v>28.8355</v>
      </c>
      <c r="D623" s="1349">
        <v>0.75816268141700338</v>
      </c>
      <c r="E623" s="1178">
        <f t="shared" si="9"/>
        <v>0</v>
      </c>
    </row>
    <row r="624" spans="1:5" ht="14.25">
      <c r="A624" s="1298" t="s">
        <v>2255</v>
      </c>
      <c r="B624" s="1298">
        <v>496.78949999999998</v>
      </c>
      <c r="C624" s="1298">
        <v>544.98929999999996</v>
      </c>
      <c r="D624" s="1349">
        <v>0.91155826362095549</v>
      </c>
      <c r="E624" s="1178">
        <f t="shared" si="9"/>
        <v>3</v>
      </c>
    </row>
    <row r="625" spans="1:5" ht="14.25">
      <c r="A625" s="1298" t="s">
        <v>2258</v>
      </c>
      <c r="B625" s="1298">
        <v>62.254199999999997</v>
      </c>
      <c r="C625" s="1298">
        <v>68.7624</v>
      </c>
      <c r="D625" s="1349">
        <v>0.90535234372273221</v>
      </c>
      <c r="E625" s="1178">
        <f t="shared" si="9"/>
        <v>3</v>
      </c>
    </row>
    <row r="626" spans="1:5" ht="14.25">
      <c r="A626" s="1298" t="s">
        <v>2257</v>
      </c>
      <c r="B626" s="1298">
        <v>181.22919999999999</v>
      </c>
      <c r="C626" s="1298">
        <v>213.8956</v>
      </c>
      <c r="D626" s="1349">
        <v>0.84727876590261786</v>
      </c>
      <c r="E626" s="1178">
        <f t="shared" si="9"/>
        <v>1.5</v>
      </c>
    </row>
    <row r="627" spans="1:5" ht="14.25">
      <c r="A627" s="1298" t="s">
        <v>2370</v>
      </c>
      <c r="B627" s="1298">
        <v>4.5359999999999996</v>
      </c>
      <c r="C627" s="1298">
        <v>4.5345000000000004</v>
      </c>
      <c r="D627" s="1349">
        <v>1</v>
      </c>
      <c r="E627" s="1178">
        <f t="shared" si="9"/>
        <v>3</v>
      </c>
    </row>
    <row r="628" spans="1:5" ht="14.25">
      <c r="A628" s="1298" t="s">
        <v>2371</v>
      </c>
      <c r="B628" s="1298">
        <v>744.80889999999999</v>
      </c>
      <c r="C628" s="1298">
        <v>832.18179999999995</v>
      </c>
      <c r="D628" s="1349">
        <v>0.89500743707685027</v>
      </c>
      <c r="E628" s="1178">
        <f t="shared" si="9"/>
        <v>1.5</v>
      </c>
    </row>
    <row r="629" spans="1:5" ht="14.25">
      <c r="A629" s="1298" t="s">
        <v>2255</v>
      </c>
      <c r="B629" s="1298">
        <v>134.27170000000001</v>
      </c>
      <c r="C629" s="1298">
        <v>146.44120000000001</v>
      </c>
      <c r="D629" s="1349">
        <v>0.91689838651964062</v>
      </c>
      <c r="E629" s="1178">
        <f t="shared" si="9"/>
        <v>3</v>
      </c>
    </row>
    <row r="630" spans="1:5" ht="14.25">
      <c r="A630" s="1298" t="s">
        <v>2257</v>
      </c>
      <c r="B630" s="1298">
        <v>131.6413</v>
      </c>
      <c r="C630" s="1298">
        <v>134.66829999999999</v>
      </c>
      <c r="D630" s="1349">
        <v>0.97752254985026177</v>
      </c>
      <c r="E630" s="1178">
        <f t="shared" si="9"/>
        <v>3</v>
      </c>
    </row>
    <row r="631" spans="1:5" ht="14.25">
      <c r="A631" s="1298" t="s">
        <v>2370</v>
      </c>
      <c r="B631" s="1298">
        <v>3.9439000000000002</v>
      </c>
      <c r="C631" s="1298">
        <v>3.9439000000000002</v>
      </c>
      <c r="D631" s="1349">
        <v>1</v>
      </c>
      <c r="E631" s="1178">
        <f t="shared" si="9"/>
        <v>3</v>
      </c>
    </row>
    <row r="632" spans="1:5" ht="14.25">
      <c r="A632" s="1298" t="s">
        <v>2371</v>
      </c>
      <c r="B632" s="1298">
        <v>269.8569</v>
      </c>
      <c r="C632" s="1298">
        <v>285.05340000000001</v>
      </c>
      <c r="D632" s="1349">
        <v>0.94668893617827399</v>
      </c>
      <c r="E632" s="1178">
        <f t="shared" si="9"/>
        <v>3</v>
      </c>
    </row>
    <row r="633" spans="1:5" ht="14.25">
      <c r="A633" s="1298" t="s">
        <v>2255</v>
      </c>
      <c r="B633" s="1298">
        <v>28.976500000000001</v>
      </c>
      <c r="C633" s="1298">
        <v>28.9787</v>
      </c>
      <c r="D633" s="1349">
        <v>0.99992408217069784</v>
      </c>
      <c r="E633" s="1178">
        <f t="shared" si="9"/>
        <v>3</v>
      </c>
    </row>
    <row r="634" spans="1:5" ht="14.25">
      <c r="A634" s="1298" t="s">
        <v>2258</v>
      </c>
      <c r="B634" s="1298">
        <v>10.039199999999999</v>
      </c>
      <c r="C634" s="1298">
        <v>12.3218</v>
      </c>
      <c r="D634" s="1349">
        <v>0.81475109156129788</v>
      </c>
      <c r="E634" s="1178">
        <f t="shared" si="9"/>
        <v>1.5</v>
      </c>
    </row>
    <row r="635" spans="1:5" ht="14.25">
      <c r="A635" s="1298" t="s">
        <v>2257</v>
      </c>
      <c r="B635" s="1298">
        <v>1.6581999999999999</v>
      </c>
      <c r="C635" s="1298">
        <v>1.6581999999999999</v>
      </c>
      <c r="D635" s="1349">
        <v>1</v>
      </c>
      <c r="E635" s="1178">
        <f t="shared" si="9"/>
        <v>3</v>
      </c>
    </row>
    <row r="636" spans="1:5" ht="14.25">
      <c r="A636" s="1298" t="s">
        <v>2370</v>
      </c>
      <c r="B636" s="1298">
        <v>0.84809999999999997</v>
      </c>
      <c r="C636" s="1298">
        <v>0.84789999999999999</v>
      </c>
      <c r="D636" s="1349">
        <v>1</v>
      </c>
      <c r="E636" s="1178">
        <f t="shared" si="9"/>
        <v>3</v>
      </c>
    </row>
    <row r="637" spans="1:5" ht="14.25">
      <c r="A637" s="1298" t="s">
        <v>2371</v>
      </c>
      <c r="B637" s="1298">
        <v>41.521999999999998</v>
      </c>
      <c r="C637" s="1298">
        <v>43.806600000000003</v>
      </c>
      <c r="D637" s="1349">
        <v>0.94784804116274712</v>
      </c>
      <c r="E637" s="1178">
        <f t="shared" si="9"/>
        <v>3</v>
      </c>
    </row>
    <row r="638" spans="1:5" ht="14.25">
      <c r="A638" s="1298" t="s">
        <v>2255</v>
      </c>
      <c r="B638" s="1298">
        <v>75.7333</v>
      </c>
      <c r="C638" s="1298">
        <v>86.224199999999996</v>
      </c>
      <c r="D638" s="1349">
        <v>0.87832998160609199</v>
      </c>
      <c r="E638" s="1178">
        <f t="shared" si="9"/>
        <v>1.5</v>
      </c>
    </row>
    <row r="639" spans="1:5" ht="14.25">
      <c r="A639" s="1298" t="s">
        <v>2371</v>
      </c>
      <c r="B639" s="1298">
        <v>75.7333</v>
      </c>
      <c r="C639" s="1298">
        <v>86.224199999999996</v>
      </c>
      <c r="D639" s="1349">
        <v>0.87832998160609199</v>
      </c>
      <c r="E639" s="1178">
        <f t="shared" si="9"/>
        <v>1.5</v>
      </c>
    </row>
    <row r="640" spans="1:5" ht="14.25">
      <c r="A640" s="1298" t="s">
        <v>2255</v>
      </c>
      <c r="B640" s="1298">
        <v>8.5244999999999997</v>
      </c>
      <c r="C640" s="1298">
        <v>49.083799999999997</v>
      </c>
      <c r="D640" s="1349">
        <v>0.17367237255469217</v>
      </c>
      <c r="E640" s="1178">
        <f t="shared" si="9"/>
        <v>0</v>
      </c>
    </row>
    <row r="641" spans="1:5" ht="14.25">
      <c r="A641" s="1298" t="s">
        <v>2371</v>
      </c>
      <c r="B641" s="1298">
        <v>8.5244999999999997</v>
      </c>
      <c r="C641" s="1298">
        <v>49.083799999999997</v>
      </c>
      <c r="D641" s="1349">
        <v>0.17367237255469217</v>
      </c>
      <c r="E641" s="1178">
        <f t="shared" si="9"/>
        <v>0</v>
      </c>
    </row>
    <row r="642" spans="1:5" ht="14.25">
      <c r="A642" s="1298" t="s">
        <v>2255</v>
      </c>
      <c r="B642" s="1298">
        <v>113.2343</v>
      </c>
      <c r="C642" s="1298">
        <v>164.2867</v>
      </c>
      <c r="D642" s="1349">
        <v>0.68924812538081293</v>
      </c>
      <c r="E642" s="1178">
        <f t="shared" si="9"/>
        <v>0</v>
      </c>
    </row>
    <row r="643" spans="1:5" ht="14.25">
      <c r="A643" s="1298" t="s">
        <v>2258</v>
      </c>
      <c r="B643" s="1298">
        <v>10.039199999999999</v>
      </c>
      <c r="C643" s="1298">
        <v>12.3218</v>
      </c>
      <c r="D643" s="1349">
        <v>0.81475109156129788</v>
      </c>
      <c r="E643" s="1178">
        <f t="shared" ref="E643:E706" si="10">IF(D643&gt;0.9,3,IF(D643&gt;0.8,1.5,0))</f>
        <v>1.5</v>
      </c>
    </row>
    <row r="644" spans="1:5" ht="14.25">
      <c r="A644" s="1298" t="s">
        <v>2257</v>
      </c>
      <c r="B644" s="1298">
        <v>1.6581999999999999</v>
      </c>
      <c r="C644" s="1298">
        <v>1.6581999999999999</v>
      </c>
      <c r="D644" s="1349">
        <v>1</v>
      </c>
      <c r="E644" s="1178">
        <f t="shared" si="10"/>
        <v>3</v>
      </c>
    </row>
    <row r="645" spans="1:5" ht="14.25">
      <c r="A645" s="1298" t="s">
        <v>2370</v>
      </c>
      <c r="B645" s="1298">
        <v>0.84809999999999997</v>
      </c>
      <c r="C645" s="1298">
        <v>0.84789999999999999</v>
      </c>
      <c r="D645" s="1349">
        <v>1</v>
      </c>
      <c r="E645" s="1178">
        <f t="shared" si="10"/>
        <v>3</v>
      </c>
    </row>
    <row r="646" spans="1:5" ht="14.25">
      <c r="A646" s="1298" t="s">
        <v>2371</v>
      </c>
      <c r="B646" s="1298">
        <v>125.77979999999999</v>
      </c>
      <c r="C646" s="1298">
        <v>179.1146</v>
      </c>
      <c r="D646" s="1349">
        <v>0.70223086225243503</v>
      </c>
      <c r="E646" s="1178">
        <f t="shared" si="10"/>
        <v>0</v>
      </c>
    </row>
    <row r="647" spans="1:5" ht="14.25">
      <c r="A647" s="1298" t="s">
        <v>2255</v>
      </c>
      <c r="B647" s="1298">
        <v>3718.7296000000001</v>
      </c>
      <c r="C647" s="1298">
        <v>4120.1490999999996</v>
      </c>
      <c r="D647" s="1349">
        <v>0.90257160839155071</v>
      </c>
      <c r="E647" s="1178">
        <f t="shared" si="10"/>
        <v>3</v>
      </c>
    </row>
    <row r="648" spans="1:5" ht="14.25">
      <c r="A648" s="1298" t="s">
        <v>2258</v>
      </c>
      <c r="B648" s="1298">
        <v>1372.3498</v>
      </c>
      <c r="C648" s="1298">
        <v>1453.8302000000001</v>
      </c>
      <c r="D648" s="1349">
        <v>0.94395466540728068</v>
      </c>
      <c r="E648" s="1178">
        <f t="shared" si="10"/>
        <v>3</v>
      </c>
    </row>
    <row r="649" spans="1:5" ht="14.25">
      <c r="A649" s="1298" t="s">
        <v>2257</v>
      </c>
      <c r="B649" s="1298">
        <v>732.63879999999995</v>
      </c>
      <c r="C649" s="1298">
        <v>793.00869999999998</v>
      </c>
      <c r="D649" s="1349">
        <v>0.9238723358268327</v>
      </c>
      <c r="E649" s="1178">
        <f t="shared" si="10"/>
        <v>3</v>
      </c>
    </row>
    <row r="650" spans="1:5" ht="14.25">
      <c r="A650" s="1298" t="s">
        <v>2370</v>
      </c>
      <c r="B650" s="1298">
        <v>45.4544</v>
      </c>
      <c r="C650" s="1298">
        <v>46.562899999999999</v>
      </c>
      <c r="D650" s="1349">
        <v>0.97619349310287806</v>
      </c>
      <c r="E650" s="1178">
        <f t="shared" si="10"/>
        <v>3</v>
      </c>
    </row>
    <row r="651" spans="1:5" ht="14.25">
      <c r="A651" s="1298" t="s">
        <v>2371</v>
      </c>
      <c r="B651" s="1298">
        <v>5869.1725999999999</v>
      </c>
      <c r="C651" s="1298">
        <v>6413.5509000000002</v>
      </c>
      <c r="D651" s="1349">
        <v>0.91512060814859986</v>
      </c>
      <c r="E651" s="1178">
        <f t="shared" si="10"/>
        <v>3</v>
      </c>
    </row>
    <row r="652" spans="1:5" ht="14.25">
      <c r="A652" s="1298" t="s">
        <v>2255</v>
      </c>
      <c r="B652" s="1298">
        <v>72.405799999999999</v>
      </c>
      <c r="C652" s="1298">
        <v>72.708100000000002</v>
      </c>
      <c r="D652" s="1349">
        <v>0.99584227892078048</v>
      </c>
      <c r="E652" s="1178">
        <f t="shared" si="10"/>
        <v>3</v>
      </c>
    </row>
    <row r="653" spans="1:5" ht="14.25">
      <c r="A653" s="1298" t="s">
        <v>2258</v>
      </c>
      <c r="B653" s="1298">
        <v>44.286200000000001</v>
      </c>
      <c r="C653" s="1298">
        <v>44.276200000000003</v>
      </c>
      <c r="D653" s="1349">
        <v>1</v>
      </c>
      <c r="E653" s="1178">
        <f t="shared" si="10"/>
        <v>3</v>
      </c>
    </row>
    <row r="654" spans="1:5" ht="14.25">
      <c r="A654" s="1298" t="s">
        <v>2257</v>
      </c>
      <c r="B654" s="1298">
        <v>0.69840000000000002</v>
      </c>
      <c r="C654" s="1298">
        <v>0.69840000000000002</v>
      </c>
      <c r="D654" s="1349">
        <v>1</v>
      </c>
      <c r="E654" s="1178">
        <f t="shared" si="10"/>
        <v>3</v>
      </c>
    </row>
    <row r="655" spans="1:5" ht="14.25">
      <c r="A655" s="1298" t="s">
        <v>2370</v>
      </c>
      <c r="B655" s="1298">
        <v>1.0558000000000001</v>
      </c>
      <c r="C655" s="1298">
        <v>1.0558000000000001</v>
      </c>
      <c r="D655" s="1349">
        <v>1</v>
      </c>
      <c r="E655" s="1178">
        <f t="shared" si="10"/>
        <v>3</v>
      </c>
    </row>
    <row r="656" spans="1:5" ht="14.25">
      <c r="A656" s="1298" t="s">
        <v>2371</v>
      </c>
      <c r="B656" s="1298">
        <v>118.4462</v>
      </c>
      <c r="C656" s="1298">
        <v>118.7385</v>
      </c>
      <c r="D656" s="1349">
        <v>0.99753828791840893</v>
      </c>
      <c r="E656" s="1178">
        <f t="shared" si="10"/>
        <v>3</v>
      </c>
    </row>
    <row r="657" spans="1:5" ht="14.25">
      <c r="A657" s="1298" t="s">
        <v>2255</v>
      </c>
      <c r="B657" s="1298">
        <v>285.28789999999998</v>
      </c>
      <c r="C657" s="1298">
        <v>299.3571</v>
      </c>
      <c r="D657" s="1349">
        <v>0.95300194984518494</v>
      </c>
      <c r="E657" s="1178">
        <f t="shared" si="10"/>
        <v>3</v>
      </c>
    </row>
    <row r="658" spans="1:5" ht="14.25">
      <c r="A658" s="1298" t="s">
        <v>2257</v>
      </c>
      <c r="B658" s="1298">
        <v>229.63300000000001</v>
      </c>
      <c r="C658" s="1298">
        <v>229.9162</v>
      </c>
      <c r="D658" s="1349">
        <v>0.99876824686559706</v>
      </c>
      <c r="E658" s="1178">
        <f t="shared" si="10"/>
        <v>3</v>
      </c>
    </row>
    <row r="659" spans="1:5" ht="14.25">
      <c r="A659" s="1298" t="s">
        <v>2370</v>
      </c>
      <c r="B659" s="1298">
        <v>1.3402000000000001</v>
      </c>
      <c r="C659" s="1298">
        <v>1.331</v>
      </c>
      <c r="D659" s="1349">
        <v>1</v>
      </c>
      <c r="E659" s="1178">
        <f t="shared" si="10"/>
        <v>3</v>
      </c>
    </row>
    <row r="660" spans="1:5" ht="14.25">
      <c r="A660" s="1298" t="s">
        <v>2371</v>
      </c>
      <c r="B660" s="1298">
        <v>516.26110000000006</v>
      </c>
      <c r="C660" s="1298">
        <v>530.60429999999997</v>
      </c>
      <c r="D660" s="1349">
        <v>0.97296817986586237</v>
      </c>
      <c r="E660" s="1178">
        <f t="shared" si="10"/>
        <v>3</v>
      </c>
    </row>
    <row r="661" spans="1:5" ht="14.25">
      <c r="A661" s="1298" t="s">
        <v>2255</v>
      </c>
      <c r="B661" s="1298">
        <v>54.8093</v>
      </c>
      <c r="C661" s="1298">
        <v>57.235300000000002</v>
      </c>
      <c r="D661" s="1349">
        <v>0.95761357064608732</v>
      </c>
      <c r="E661" s="1178">
        <f t="shared" si="10"/>
        <v>3</v>
      </c>
    </row>
    <row r="662" spans="1:5" ht="14.25">
      <c r="A662" s="1298" t="s">
        <v>2257</v>
      </c>
      <c r="B662" s="1298">
        <v>0.55610000000000004</v>
      </c>
      <c r="C662" s="1298">
        <v>0.55610000000000004</v>
      </c>
      <c r="D662" s="1349">
        <v>1</v>
      </c>
      <c r="E662" s="1178">
        <f t="shared" si="10"/>
        <v>3</v>
      </c>
    </row>
    <row r="663" spans="1:5" ht="14.25">
      <c r="A663" s="1298" t="s">
        <v>2370</v>
      </c>
      <c r="B663" s="1298">
        <v>2.9822000000000002</v>
      </c>
      <c r="C663" s="1298">
        <v>3.0733000000000001</v>
      </c>
      <c r="D663" s="1349">
        <v>0.97035759606937166</v>
      </c>
      <c r="E663" s="1178">
        <f t="shared" si="10"/>
        <v>3</v>
      </c>
    </row>
    <row r="664" spans="1:5" ht="14.25">
      <c r="A664" s="1298" t="s">
        <v>2371</v>
      </c>
      <c r="B664" s="1298">
        <v>58.3476</v>
      </c>
      <c r="C664" s="1298">
        <v>60.864699999999999</v>
      </c>
      <c r="D664" s="1349">
        <v>0.95864433735810739</v>
      </c>
      <c r="E664" s="1178">
        <f t="shared" si="10"/>
        <v>3</v>
      </c>
    </row>
    <row r="665" spans="1:5" ht="14.25">
      <c r="A665" s="1298" t="s">
        <v>2255</v>
      </c>
      <c r="B665" s="1298">
        <v>18.414100000000001</v>
      </c>
      <c r="C665" s="1298">
        <v>19.732299999999999</v>
      </c>
      <c r="D665" s="1349">
        <v>0.9331958261327874</v>
      </c>
      <c r="E665" s="1178">
        <f t="shared" si="10"/>
        <v>3</v>
      </c>
    </row>
    <row r="666" spans="1:5" ht="14.25">
      <c r="A666" s="1298" t="s">
        <v>2258</v>
      </c>
      <c r="B666" s="1298">
        <v>44.358499999999999</v>
      </c>
      <c r="C666" s="1298">
        <v>45.648200000000003</v>
      </c>
      <c r="D666" s="1349">
        <v>0.97174696921236758</v>
      </c>
      <c r="E666" s="1178">
        <f t="shared" si="10"/>
        <v>3</v>
      </c>
    </row>
    <row r="667" spans="1:5" ht="14.25">
      <c r="A667" s="1298" t="s">
        <v>2257</v>
      </c>
      <c r="B667" s="1298">
        <v>279.11</v>
      </c>
      <c r="C667" s="1298">
        <v>289.04300000000001</v>
      </c>
      <c r="D667" s="1349">
        <v>0.9656348709361583</v>
      </c>
      <c r="E667" s="1178">
        <f t="shared" si="10"/>
        <v>3</v>
      </c>
    </row>
    <row r="668" spans="1:5" ht="14.25">
      <c r="A668" s="1298" t="s">
        <v>2370</v>
      </c>
      <c r="B668" s="1298">
        <v>1.0795999999999999</v>
      </c>
      <c r="C668" s="1298">
        <v>1.0795999999999999</v>
      </c>
      <c r="D668" s="1349">
        <v>1</v>
      </c>
      <c r="E668" s="1178">
        <f t="shared" si="10"/>
        <v>3</v>
      </c>
    </row>
    <row r="669" spans="1:5" ht="14.25">
      <c r="A669" s="1298" t="s">
        <v>2371</v>
      </c>
      <c r="B669" s="1298">
        <v>342.9622</v>
      </c>
      <c r="C669" s="1298">
        <v>355.50310000000002</v>
      </c>
      <c r="D669" s="1349">
        <v>0.96472351436597881</v>
      </c>
      <c r="E669" s="1178">
        <f t="shared" si="10"/>
        <v>3</v>
      </c>
    </row>
    <row r="670" spans="1:5" ht="14.25">
      <c r="A670" s="1298" t="s">
        <v>2255</v>
      </c>
      <c r="B670" s="1298">
        <v>73.936700000000002</v>
      </c>
      <c r="C670" s="1298">
        <v>76.981200000000001</v>
      </c>
      <c r="D670" s="1349">
        <v>0.96045138293505428</v>
      </c>
      <c r="E670" s="1178">
        <f t="shared" si="10"/>
        <v>3</v>
      </c>
    </row>
    <row r="671" spans="1:5" ht="14.25">
      <c r="A671" s="1298" t="s">
        <v>2370</v>
      </c>
      <c r="B671" s="1298">
        <v>0.57930000000000004</v>
      </c>
      <c r="C671" s="1298">
        <v>0.57930000000000004</v>
      </c>
      <c r="D671" s="1349">
        <v>1</v>
      </c>
      <c r="E671" s="1178">
        <f t="shared" si="10"/>
        <v>3</v>
      </c>
    </row>
    <row r="672" spans="1:5" ht="14.25">
      <c r="A672" s="1298" t="s">
        <v>2371</v>
      </c>
      <c r="B672" s="1298">
        <v>74.516000000000005</v>
      </c>
      <c r="C672" s="1298">
        <v>77.560500000000005</v>
      </c>
      <c r="D672" s="1349">
        <v>0.96074677187485902</v>
      </c>
      <c r="E672" s="1178">
        <f t="shared" si="10"/>
        <v>3</v>
      </c>
    </row>
    <row r="673" spans="1:5" ht="14.25">
      <c r="A673" s="1298" t="s">
        <v>2255</v>
      </c>
      <c r="B673" s="1298">
        <v>85.452699999999993</v>
      </c>
      <c r="C673" s="1298">
        <v>87.157499999999999</v>
      </c>
      <c r="D673" s="1349">
        <v>0.98044000803143738</v>
      </c>
      <c r="E673" s="1178">
        <f t="shared" si="10"/>
        <v>3</v>
      </c>
    </row>
    <row r="674" spans="1:5" ht="14.25">
      <c r="A674" s="1298" t="s">
        <v>2370</v>
      </c>
      <c r="B674" s="1298">
        <v>0.61170000000000002</v>
      </c>
      <c r="C674" s="1298">
        <v>0.61319999999999997</v>
      </c>
      <c r="D674" s="1349">
        <v>0.99755381604696669</v>
      </c>
      <c r="E674" s="1178">
        <f t="shared" si="10"/>
        <v>3</v>
      </c>
    </row>
    <row r="675" spans="1:5" ht="14.25">
      <c r="A675" s="1298" t="s">
        <v>2371</v>
      </c>
      <c r="B675" s="1298">
        <v>86.064400000000006</v>
      </c>
      <c r="C675" s="1298">
        <v>87.770700000000005</v>
      </c>
      <c r="D675" s="1349">
        <v>0.980559571702174</v>
      </c>
      <c r="E675" s="1178">
        <f t="shared" si="10"/>
        <v>3</v>
      </c>
    </row>
    <row r="676" spans="1:5" ht="14.25">
      <c r="A676" s="1298" t="s">
        <v>2255</v>
      </c>
      <c r="B676" s="1298">
        <v>53.089100000000002</v>
      </c>
      <c r="C676" s="1298">
        <v>56.8035</v>
      </c>
      <c r="D676" s="1349">
        <v>0.93460966313695459</v>
      </c>
      <c r="E676" s="1178">
        <f t="shared" si="10"/>
        <v>3</v>
      </c>
    </row>
    <row r="677" spans="1:5" ht="14.25">
      <c r="A677" s="1298" t="s">
        <v>2370</v>
      </c>
      <c r="B677" s="1298">
        <v>0.32300000000000001</v>
      </c>
      <c r="C677" s="1298">
        <v>0.32019999999999998</v>
      </c>
      <c r="D677" s="1349">
        <v>1</v>
      </c>
      <c r="E677" s="1178">
        <f t="shared" si="10"/>
        <v>3</v>
      </c>
    </row>
    <row r="678" spans="1:5" ht="14.25">
      <c r="A678" s="1298" t="s">
        <v>2371</v>
      </c>
      <c r="B678" s="1298">
        <v>53.412100000000002</v>
      </c>
      <c r="C678" s="1298">
        <v>57.123699999999999</v>
      </c>
      <c r="D678" s="1349">
        <v>0.93502521720406762</v>
      </c>
      <c r="E678" s="1178">
        <f t="shared" si="10"/>
        <v>3</v>
      </c>
    </row>
    <row r="679" spans="1:5" ht="14.25">
      <c r="A679" s="1298" t="s">
        <v>2255</v>
      </c>
      <c r="B679" s="1298">
        <v>18.092700000000001</v>
      </c>
      <c r="C679" s="1298">
        <v>18.3476</v>
      </c>
      <c r="D679" s="1349">
        <v>0.9861071747803527</v>
      </c>
      <c r="E679" s="1178">
        <f t="shared" si="10"/>
        <v>3</v>
      </c>
    </row>
    <row r="680" spans="1:5" ht="14.25">
      <c r="A680" s="1298" t="s">
        <v>2371</v>
      </c>
      <c r="B680" s="1298">
        <v>18.092700000000001</v>
      </c>
      <c r="C680" s="1298">
        <v>18.3476</v>
      </c>
      <c r="D680" s="1349">
        <v>0.9861071747803527</v>
      </c>
      <c r="E680" s="1178">
        <f t="shared" si="10"/>
        <v>3</v>
      </c>
    </row>
    <row r="681" spans="1:5" ht="14.25">
      <c r="A681" s="1298" t="s">
        <v>2255</v>
      </c>
      <c r="B681" s="1298">
        <v>22.019200000000001</v>
      </c>
      <c r="C681" s="1298">
        <v>22.513200000000001</v>
      </c>
      <c r="D681" s="1349">
        <v>0.97805731748485336</v>
      </c>
      <c r="E681" s="1178">
        <f t="shared" si="10"/>
        <v>3</v>
      </c>
    </row>
    <row r="682" spans="1:5" ht="14.25">
      <c r="A682" s="1298" t="s">
        <v>2370</v>
      </c>
      <c r="B682" s="1298">
        <v>1.0947</v>
      </c>
      <c r="C682" s="1298">
        <v>1.0955999999999999</v>
      </c>
      <c r="D682" s="1349">
        <v>0.99917853231106246</v>
      </c>
      <c r="E682" s="1178">
        <f t="shared" si="10"/>
        <v>3</v>
      </c>
    </row>
    <row r="683" spans="1:5" ht="14.25">
      <c r="A683" s="1298" t="s">
        <v>2371</v>
      </c>
      <c r="B683" s="1298">
        <v>23.113900000000001</v>
      </c>
      <c r="C683" s="1298">
        <v>23.608799999999999</v>
      </c>
      <c r="D683" s="1349">
        <v>0.97903747755074377</v>
      </c>
      <c r="E683" s="1178">
        <f t="shared" si="10"/>
        <v>3</v>
      </c>
    </row>
    <row r="684" spans="1:5" ht="14.25">
      <c r="A684" s="1298" t="s">
        <v>2255</v>
      </c>
      <c r="B684" s="1298">
        <v>21.7117</v>
      </c>
      <c r="C684" s="1298">
        <v>24.348500000000001</v>
      </c>
      <c r="D684" s="1349">
        <v>0.89170585457009677</v>
      </c>
      <c r="E684" s="1178">
        <f t="shared" si="10"/>
        <v>1.5</v>
      </c>
    </row>
    <row r="685" spans="1:5" ht="14.25">
      <c r="A685" s="1298" t="s">
        <v>2370</v>
      </c>
      <c r="B685" s="1298">
        <v>0.93100000000000005</v>
      </c>
      <c r="C685" s="1298">
        <v>0.93100000000000005</v>
      </c>
      <c r="D685" s="1349">
        <v>1</v>
      </c>
      <c r="E685" s="1178">
        <f t="shared" si="10"/>
        <v>3</v>
      </c>
    </row>
    <row r="686" spans="1:5" ht="14.25">
      <c r="A686" s="1298" t="s">
        <v>2371</v>
      </c>
      <c r="B686" s="1298">
        <v>22.642700000000001</v>
      </c>
      <c r="C686" s="1298">
        <v>25.279499999999999</v>
      </c>
      <c r="D686" s="1349">
        <v>0.89569413952016452</v>
      </c>
      <c r="E686" s="1178">
        <f t="shared" si="10"/>
        <v>1.5</v>
      </c>
    </row>
    <row r="687" spans="1:5" ht="14.25">
      <c r="A687" s="1298" t="s">
        <v>2255</v>
      </c>
      <c r="B687" s="1298">
        <v>51.551400000000001</v>
      </c>
      <c r="C687" s="1298">
        <v>54.691200000000002</v>
      </c>
      <c r="D687" s="1349">
        <v>0.94259039845532733</v>
      </c>
      <c r="E687" s="1178">
        <f t="shared" si="10"/>
        <v>3</v>
      </c>
    </row>
    <row r="688" spans="1:5" ht="14.25">
      <c r="A688" s="1298" t="s">
        <v>2371</v>
      </c>
      <c r="B688" s="1298">
        <v>51.551400000000001</v>
      </c>
      <c r="C688" s="1298">
        <v>54.691200000000002</v>
      </c>
      <c r="D688" s="1349">
        <v>0.94259039845532733</v>
      </c>
      <c r="E688" s="1178">
        <f t="shared" si="10"/>
        <v>3</v>
      </c>
    </row>
    <row r="689" spans="1:5" ht="14.25">
      <c r="A689" s="1298" t="s">
        <v>2255</v>
      </c>
      <c r="B689" s="1298">
        <v>20.5336</v>
      </c>
      <c r="C689" s="1298">
        <v>23.6754</v>
      </c>
      <c r="D689" s="1349">
        <v>0.86729685665289713</v>
      </c>
      <c r="E689" s="1178">
        <f t="shared" si="10"/>
        <v>1.5</v>
      </c>
    </row>
    <row r="690" spans="1:5" ht="14.25">
      <c r="A690" s="1298" t="s">
        <v>2371</v>
      </c>
      <c r="B690" s="1298">
        <v>20.5336</v>
      </c>
      <c r="C690" s="1298">
        <v>23.6754</v>
      </c>
      <c r="D690" s="1349">
        <v>0.86729685665289713</v>
      </c>
      <c r="E690" s="1178">
        <f t="shared" si="10"/>
        <v>1.5</v>
      </c>
    </row>
    <row r="691" spans="1:5" ht="14.25">
      <c r="A691" s="1298" t="s">
        <v>2255</v>
      </c>
      <c r="B691" s="1298">
        <v>364.80119999999999</v>
      </c>
      <c r="C691" s="1298">
        <v>384.25040000000001</v>
      </c>
      <c r="D691" s="1349">
        <v>0.94938404748570204</v>
      </c>
      <c r="E691" s="1178">
        <f t="shared" si="10"/>
        <v>3</v>
      </c>
    </row>
    <row r="692" spans="1:5" ht="14.25">
      <c r="A692" s="1298" t="s">
        <v>2258</v>
      </c>
      <c r="B692" s="1298">
        <v>44.358499999999999</v>
      </c>
      <c r="C692" s="1298">
        <v>45.648200000000003</v>
      </c>
      <c r="D692" s="1349">
        <v>0.97174696921236758</v>
      </c>
      <c r="E692" s="1178">
        <f t="shared" si="10"/>
        <v>3</v>
      </c>
    </row>
    <row r="693" spans="1:5" ht="14.25">
      <c r="A693" s="1298" t="s">
        <v>2257</v>
      </c>
      <c r="B693" s="1298">
        <v>279.11</v>
      </c>
      <c r="C693" s="1298">
        <v>289.04300000000001</v>
      </c>
      <c r="D693" s="1349">
        <v>0.9656348709361583</v>
      </c>
      <c r="E693" s="1178">
        <f t="shared" si="10"/>
        <v>3</v>
      </c>
    </row>
    <row r="694" spans="1:5" ht="14.25">
      <c r="A694" s="1298" t="s">
        <v>2370</v>
      </c>
      <c r="B694" s="1298">
        <v>4.6193</v>
      </c>
      <c r="C694" s="1298">
        <v>4.6189</v>
      </c>
      <c r="D694" s="1349">
        <v>1</v>
      </c>
      <c r="E694" s="1178">
        <f t="shared" si="10"/>
        <v>3</v>
      </c>
    </row>
    <row r="695" spans="1:5" ht="14.25">
      <c r="A695" s="1298" t="s">
        <v>2371</v>
      </c>
      <c r="B695" s="1298">
        <v>692.88900000000001</v>
      </c>
      <c r="C695" s="1298">
        <v>723.56050000000005</v>
      </c>
      <c r="D695" s="1349">
        <v>0.95761031731278867</v>
      </c>
      <c r="E695" s="1178">
        <f t="shared" si="10"/>
        <v>3</v>
      </c>
    </row>
    <row r="696" spans="1:5" ht="14.25">
      <c r="A696" s="1298" t="s">
        <v>2255</v>
      </c>
      <c r="B696" s="1298">
        <v>14.5113</v>
      </c>
      <c r="C696" s="1298">
        <v>14.773899999999999</v>
      </c>
      <c r="D696" s="1349">
        <v>0.98222541102890903</v>
      </c>
      <c r="E696" s="1178">
        <f t="shared" si="10"/>
        <v>3</v>
      </c>
    </row>
    <row r="697" spans="1:5" ht="14.25">
      <c r="A697" s="1298" t="s">
        <v>2258</v>
      </c>
      <c r="B697" s="1298">
        <v>47.753500000000003</v>
      </c>
      <c r="C697" s="1298">
        <v>50.108499999999999</v>
      </c>
      <c r="D697" s="1349">
        <v>0.95300198569105044</v>
      </c>
      <c r="E697" s="1178">
        <f t="shared" si="10"/>
        <v>3</v>
      </c>
    </row>
    <row r="698" spans="1:5" ht="14.25">
      <c r="A698" s="1298" t="s">
        <v>2257</v>
      </c>
      <c r="B698" s="1298">
        <v>4.7359999999999998</v>
      </c>
      <c r="C698" s="1298">
        <v>4.7359999999999998</v>
      </c>
      <c r="D698" s="1349">
        <v>1</v>
      </c>
      <c r="E698" s="1178">
        <f t="shared" si="10"/>
        <v>3</v>
      </c>
    </row>
    <row r="699" spans="1:5" ht="14.25">
      <c r="A699" s="1298" t="s">
        <v>2371</v>
      </c>
      <c r="B699" s="1298">
        <v>67.000799999999998</v>
      </c>
      <c r="C699" s="1298">
        <v>69.618399999999994</v>
      </c>
      <c r="D699" s="1349">
        <v>0.96240074463072978</v>
      </c>
      <c r="E699" s="1178">
        <f t="shared" si="10"/>
        <v>3</v>
      </c>
    </row>
    <row r="700" spans="1:5" ht="14.25">
      <c r="A700" s="1298" t="s">
        <v>2255</v>
      </c>
      <c r="B700" s="1298">
        <v>26.1387</v>
      </c>
      <c r="C700" s="1298">
        <v>28.872699999999998</v>
      </c>
      <c r="D700" s="1349">
        <v>0.90530847478760212</v>
      </c>
      <c r="E700" s="1178">
        <f t="shared" si="10"/>
        <v>3</v>
      </c>
    </row>
    <row r="701" spans="1:5" ht="14.25">
      <c r="A701" s="1298" t="s">
        <v>2370</v>
      </c>
      <c r="B701" s="1298">
        <v>0.94599999999999995</v>
      </c>
      <c r="C701" s="1298">
        <v>0.94599999999999995</v>
      </c>
      <c r="D701" s="1349">
        <v>1</v>
      </c>
      <c r="E701" s="1178">
        <f t="shared" si="10"/>
        <v>3</v>
      </c>
    </row>
    <row r="702" spans="1:5" ht="14.25">
      <c r="A702" s="1298" t="s">
        <v>2371</v>
      </c>
      <c r="B702" s="1298">
        <v>27.084700000000002</v>
      </c>
      <c r="C702" s="1298">
        <v>29.8187</v>
      </c>
      <c r="D702" s="1349">
        <v>0.90831256895840529</v>
      </c>
      <c r="E702" s="1178">
        <f t="shared" si="10"/>
        <v>3</v>
      </c>
    </row>
    <row r="703" spans="1:5" ht="14.25">
      <c r="A703" s="1298" t="s">
        <v>2255</v>
      </c>
      <c r="B703" s="1298">
        <v>47.129800000000003</v>
      </c>
      <c r="C703" s="1298">
        <v>49.7545</v>
      </c>
      <c r="D703" s="1349">
        <v>0.94724698268498331</v>
      </c>
      <c r="E703" s="1178">
        <f t="shared" si="10"/>
        <v>3</v>
      </c>
    </row>
    <row r="704" spans="1:5" ht="14.25">
      <c r="A704" s="1298" t="s">
        <v>2371</v>
      </c>
      <c r="B704" s="1298">
        <v>47.129800000000003</v>
      </c>
      <c r="C704" s="1298">
        <v>49.7545</v>
      </c>
      <c r="D704" s="1349">
        <v>0.94724698268498331</v>
      </c>
      <c r="E704" s="1178">
        <f t="shared" si="10"/>
        <v>3</v>
      </c>
    </row>
    <row r="705" spans="1:5" ht="14.25">
      <c r="A705" s="1298" t="s">
        <v>2255</v>
      </c>
      <c r="B705" s="1298">
        <v>101.9132</v>
      </c>
      <c r="C705" s="1298">
        <v>104.6743</v>
      </c>
      <c r="D705" s="1349">
        <v>0.97362198744104334</v>
      </c>
      <c r="E705" s="1178">
        <f t="shared" si="10"/>
        <v>3</v>
      </c>
    </row>
    <row r="706" spans="1:5" ht="14.25">
      <c r="A706" s="1298" t="s">
        <v>2371</v>
      </c>
      <c r="B706" s="1298">
        <v>101.9132</v>
      </c>
      <c r="C706" s="1298">
        <v>104.6743</v>
      </c>
      <c r="D706" s="1349">
        <v>0.97362198744104334</v>
      </c>
      <c r="E706" s="1178">
        <f t="shared" si="10"/>
        <v>3</v>
      </c>
    </row>
    <row r="707" spans="1:5" ht="14.25">
      <c r="A707" s="1298" t="s">
        <v>2255</v>
      </c>
      <c r="B707" s="1298">
        <v>6.9012000000000002</v>
      </c>
      <c r="C707" s="1298">
        <v>6.9017999999999997</v>
      </c>
      <c r="D707" s="1349">
        <v>0.99991306615665476</v>
      </c>
      <c r="E707" s="1178">
        <f t="shared" ref="E707:E770" si="11">IF(D707&gt;0.9,3,IF(D707&gt;0.8,1.5,0))</f>
        <v>3</v>
      </c>
    </row>
    <row r="708" spans="1:5" ht="14.25">
      <c r="A708" s="1298" t="s">
        <v>2371</v>
      </c>
      <c r="B708" s="1298">
        <v>6.9012000000000002</v>
      </c>
      <c r="C708" s="1298">
        <v>6.9017999999999997</v>
      </c>
      <c r="D708" s="1349">
        <v>0.99991306615665476</v>
      </c>
      <c r="E708" s="1178">
        <f t="shared" si="11"/>
        <v>3</v>
      </c>
    </row>
    <row r="709" spans="1:5" ht="14.25">
      <c r="A709" s="1298" t="s">
        <v>2255</v>
      </c>
      <c r="B709" s="1298">
        <v>13.267300000000001</v>
      </c>
      <c r="C709" s="1298">
        <v>14.4505</v>
      </c>
      <c r="D709" s="1349">
        <v>0.91812048026019866</v>
      </c>
      <c r="E709" s="1178">
        <f t="shared" si="11"/>
        <v>3</v>
      </c>
    </row>
    <row r="710" spans="1:5" ht="14.25">
      <c r="A710" s="1298" t="s">
        <v>2371</v>
      </c>
      <c r="B710" s="1298">
        <v>13.267300000000001</v>
      </c>
      <c r="C710" s="1298">
        <v>14.4505</v>
      </c>
      <c r="D710" s="1349">
        <v>0.91812048026019866</v>
      </c>
      <c r="E710" s="1178">
        <f t="shared" si="11"/>
        <v>3</v>
      </c>
    </row>
    <row r="711" spans="1:5" ht="14.25">
      <c r="A711" s="1298" t="s">
        <v>2255</v>
      </c>
      <c r="B711" s="1298">
        <v>95.106700000000004</v>
      </c>
      <c r="C711" s="1298">
        <v>104.8506</v>
      </c>
      <c r="D711" s="1349">
        <v>0.90706872445174369</v>
      </c>
      <c r="E711" s="1178">
        <f t="shared" si="11"/>
        <v>3</v>
      </c>
    </row>
    <row r="712" spans="1:5" ht="14.25">
      <c r="A712" s="1298" t="s">
        <v>2370</v>
      </c>
      <c r="B712" s="1298">
        <v>0.90010000000000001</v>
      </c>
      <c r="C712" s="1298">
        <v>0.90010000000000001</v>
      </c>
      <c r="D712" s="1349">
        <v>1</v>
      </c>
      <c r="E712" s="1178">
        <f t="shared" si="11"/>
        <v>3</v>
      </c>
    </row>
    <row r="713" spans="1:5" ht="14.25">
      <c r="A713" s="1298" t="s">
        <v>2371</v>
      </c>
      <c r="B713" s="1298">
        <v>96.006799999999998</v>
      </c>
      <c r="C713" s="1298">
        <v>105.75069999999999</v>
      </c>
      <c r="D713" s="1349">
        <v>0.90785971156692102</v>
      </c>
      <c r="E713" s="1178">
        <f t="shared" si="11"/>
        <v>3</v>
      </c>
    </row>
    <row r="714" spans="1:5" ht="14.25">
      <c r="A714" s="1298" t="s">
        <v>2255</v>
      </c>
      <c r="B714" s="1298">
        <v>38.525500000000001</v>
      </c>
      <c r="C714" s="1298">
        <v>38.603200000000001</v>
      </c>
      <c r="D714" s="1349">
        <v>0.99798721349525432</v>
      </c>
      <c r="E714" s="1178">
        <f t="shared" si="11"/>
        <v>3</v>
      </c>
    </row>
    <row r="715" spans="1:5" ht="14.25">
      <c r="A715" s="1298" t="s">
        <v>2370</v>
      </c>
      <c r="B715" s="1298">
        <v>1.6884999999999999</v>
      </c>
      <c r="C715" s="1298">
        <v>1.6884999999999999</v>
      </c>
      <c r="D715" s="1349">
        <v>1</v>
      </c>
      <c r="E715" s="1178">
        <f t="shared" si="11"/>
        <v>3</v>
      </c>
    </row>
    <row r="716" spans="1:5" ht="14.25">
      <c r="A716" s="1298" t="s">
        <v>2371</v>
      </c>
      <c r="B716" s="1298">
        <v>40.213999999999999</v>
      </c>
      <c r="C716" s="1298">
        <v>40.291699999999999</v>
      </c>
      <c r="D716" s="1349">
        <v>0.99807156312590439</v>
      </c>
      <c r="E716" s="1178">
        <f t="shared" si="11"/>
        <v>3</v>
      </c>
    </row>
    <row r="717" spans="1:5" ht="14.25">
      <c r="A717" s="1298" t="s">
        <v>2255</v>
      </c>
      <c r="B717" s="1298">
        <v>5.1272000000000002</v>
      </c>
      <c r="C717" s="1298">
        <v>7.4086999999999996</v>
      </c>
      <c r="D717" s="1349">
        <v>0.69205123705913318</v>
      </c>
      <c r="E717" s="1178">
        <f t="shared" si="11"/>
        <v>0</v>
      </c>
    </row>
    <row r="718" spans="1:5" ht="14.25">
      <c r="A718" s="1298" t="s">
        <v>2371</v>
      </c>
      <c r="B718" s="1298">
        <v>5.1272000000000002</v>
      </c>
      <c r="C718" s="1298">
        <v>7.4086999999999996</v>
      </c>
      <c r="D718" s="1349">
        <v>0.69205123705913318</v>
      </c>
      <c r="E718" s="1178">
        <f t="shared" si="11"/>
        <v>0</v>
      </c>
    </row>
    <row r="719" spans="1:5" ht="14.25">
      <c r="A719" s="1298" t="s">
        <v>2255</v>
      </c>
      <c r="B719" s="1298">
        <v>348.62090000000001</v>
      </c>
      <c r="C719" s="1298">
        <v>370.29020000000003</v>
      </c>
      <c r="D719" s="1349">
        <v>0.94148022280902921</v>
      </c>
      <c r="E719" s="1178">
        <f t="shared" si="11"/>
        <v>3</v>
      </c>
    </row>
    <row r="720" spans="1:5" ht="14.25">
      <c r="A720" s="1298" t="s">
        <v>2258</v>
      </c>
      <c r="B720" s="1298">
        <v>47.753500000000003</v>
      </c>
      <c r="C720" s="1298">
        <v>50.108499999999999</v>
      </c>
      <c r="D720" s="1349">
        <v>0.95300198569105044</v>
      </c>
      <c r="E720" s="1178">
        <f t="shared" si="11"/>
        <v>3</v>
      </c>
    </row>
    <row r="721" spans="1:5" ht="14.25">
      <c r="A721" s="1298" t="s">
        <v>2257</v>
      </c>
      <c r="B721" s="1298">
        <v>4.7359999999999998</v>
      </c>
      <c r="C721" s="1298">
        <v>4.7359999999999998</v>
      </c>
      <c r="D721" s="1349">
        <v>1</v>
      </c>
      <c r="E721" s="1178">
        <f t="shared" si="11"/>
        <v>3</v>
      </c>
    </row>
    <row r="722" spans="1:5" ht="14.25">
      <c r="A722" s="1298" t="s">
        <v>2370</v>
      </c>
      <c r="B722" s="1298">
        <v>3.5346000000000002</v>
      </c>
      <c r="C722" s="1298">
        <v>3.5346000000000002</v>
      </c>
      <c r="D722" s="1349">
        <v>1</v>
      </c>
      <c r="E722" s="1178">
        <f t="shared" si="11"/>
        <v>3</v>
      </c>
    </row>
    <row r="723" spans="1:5" ht="14.25">
      <c r="A723" s="1298" t="s">
        <v>2371</v>
      </c>
      <c r="B723" s="1298">
        <v>404.64499999999998</v>
      </c>
      <c r="C723" s="1298">
        <v>428.66930000000002</v>
      </c>
      <c r="D723" s="1349">
        <v>0.94395609855895912</v>
      </c>
      <c r="E723" s="1178">
        <f t="shared" si="11"/>
        <v>3</v>
      </c>
    </row>
    <row r="724" spans="1:5" ht="14.25">
      <c r="A724" s="1298" t="s">
        <v>2255</v>
      </c>
      <c r="B724" s="1298">
        <v>104.3706</v>
      </c>
      <c r="C724" s="1298">
        <v>114.85129999999999</v>
      </c>
      <c r="D724" s="1349">
        <v>0.90874548220176876</v>
      </c>
      <c r="E724" s="1178">
        <f t="shared" si="11"/>
        <v>3</v>
      </c>
    </row>
    <row r="725" spans="1:5" ht="14.25">
      <c r="A725" s="1298" t="s">
        <v>2258</v>
      </c>
      <c r="B725" s="1298">
        <v>71.576999999999998</v>
      </c>
      <c r="C725" s="1298">
        <v>74.868499999999997</v>
      </c>
      <c r="D725" s="1349">
        <v>0.95603625022539518</v>
      </c>
      <c r="E725" s="1178">
        <f t="shared" si="11"/>
        <v>3</v>
      </c>
    </row>
    <row r="726" spans="1:5" ht="14.25">
      <c r="A726" s="1298" t="s">
        <v>2257</v>
      </c>
      <c r="B726" s="1298">
        <v>2.1888000000000001</v>
      </c>
      <c r="C726" s="1298">
        <v>2.3776000000000002</v>
      </c>
      <c r="D726" s="1349">
        <v>0.92059219380888291</v>
      </c>
      <c r="E726" s="1178">
        <f t="shared" si="11"/>
        <v>3</v>
      </c>
    </row>
    <row r="727" spans="1:5" ht="14.25">
      <c r="A727" s="1298" t="s">
        <v>2370</v>
      </c>
      <c r="B727" s="1298">
        <v>1.3362000000000001</v>
      </c>
      <c r="C727" s="1298">
        <v>2.2740999999999998</v>
      </c>
      <c r="D727" s="1349">
        <v>0.58757310584407019</v>
      </c>
      <c r="E727" s="1178">
        <f t="shared" si="11"/>
        <v>0</v>
      </c>
    </row>
    <row r="728" spans="1:5" ht="14.25">
      <c r="A728" s="1298" t="s">
        <v>2371</v>
      </c>
      <c r="B728" s="1298">
        <v>179.4726</v>
      </c>
      <c r="C728" s="1298">
        <v>194.3715</v>
      </c>
      <c r="D728" s="1349">
        <v>0.92334833038794273</v>
      </c>
      <c r="E728" s="1178">
        <f t="shared" si="11"/>
        <v>3</v>
      </c>
    </row>
    <row r="729" spans="1:5" ht="14.25">
      <c r="A729" s="1298" t="s">
        <v>2255</v>
      </c>
      <c r="B729" s="1298">
        <v>6.7434000000000003</v>
      </c>
      <c r="C729" s="1298">
        <v>6.7221000000000002</v>
      </c>
      <c r="D729" s="1349">
        <v>1</v>
      </c>
      <c r="E729" s="1178">
        <f t="shared" si="11"/>
        <v>3</v>
      </c>
    </row>
    <row r="730" spans="1:5" ht="14.25">
      <c r="A730" s="1298" t="s">
        <v>2371</v>
      </c>
      <c r="B730" s="1298">
        <v>6.7434000000000003</v>
      </c>
      <c r="C730" s="1298">
        <v>6.7221000000000002</v>
      </c>
      <c r="D730" s="1349">
        <v>1</v>
      </c>
      <c r="E730" s="1178">
        <f t="shared" si="11"/>
        <v>3</v>
      </c>
    </row>
    <row r="731" spans="1:5" ht="14.25">
      <c r="A731" s="1298" t="s">
        <v>2255</v>
      </c>
      <c r="B731" s="1298">
        <v>65.784400000000005</v>
      </c>
      <c r="C731" s="1298">
        <v>68.072199999999995</v>
      </c>
      <c r="D731" s="1349">
        <v>0.96639156660134384</v>
      </c>
      <c r="E731" s="1178">
        <f t="shared" si="11"/>
        <v>3</v>
      </c>
    </row>
    <row r="732" spans="1:5" ht="14.25">
      <c r="A732" s="1298" t="s">
        <v>2371</v>
      </c>
      <c r="B732" s="1298">
        <v>65.784400000000005</v>
      </c>
      <c r="C732" s="1298">
        <v>68.072199999999995</v>
      </c>
      <c r="D732" s="1349">
        <v>0.96639156660134384</v>
      </c>
      <c r="E732" s="1178">
        <f t="shared" si="11"/>
        <v>3</v>
      </c>
    </row>
    <row r="733" spans="1:5" ht="14.25">
      <c r="A733" s="1298" t="s">
        <v>2255</v>
      </c>
      <c r="B733" s="1298">
        <v>31.493400000000001</v>
      </c>
      <c r="C733" s="1298">
        <v>32.405799999999999</v>
      </c>
      <c r="D733" s="1349">
        <v>0.97184454634664164</v>
      </c>
      <c r="E733" s="1178">
        <f t="shared" si="11"/>
        <v>3</v>
      </c>
    </row>
    <row r="734" spans="1:5" ht="14.25">
      <c r="A734" s="1298" t="s">
        <v>2257</v>
      </c>
      <c r="B734" s="1298">
        <v>3.5085000000000002</v>
      </c>
      <c r="C734" s="1298">
        <v>3.6972999999999998</v>
      </c>
      <c r="D734" s="1349">
        <v>0.94893570984231734</v>
      </c>
      <c r="E734" s="1178">
        <f t="shared" si="11"/>
        <v>3</v>
      </c>
    </row>
    <row r="735" spans="1:5" ht="14.25">
      <c r="A735" s="1298" t="s">
        <v>2371</v>
      </c>
      <c r="B735" s="1298">
        <v>35.001899999999999</v>
      </c>
      <c r="C735" s="1298">
        <v>36.103099999999998</v>
      </c>
      <c r="D735" s="1349">
        <v>0.96949846412080953</v>
      </c>
      <c r="E735" s="1178">
        <f t="shared" si="11"/>
        <v>3</v>
      </c>
    </row>
    <row r="736" spans="1:5" ht="14.25">
      <c r="A736" s="1298" t="s">
        <v>2255</v>
      </c>
      <c r="B736" s="1298">
        <v>6.3040000000000003</v>
      </c>
      <c r="C736" s="1298">
        <v>7.5834000000000001</v>
      </c>
      <c r="D736" s="1349">
        <v>0.83128939525806367</v>
      </c>
      <c r="E736" s="1178">
        <f t="shared" si="11"/>
        <v>1.5</v>
      </c>
    </row>
    <row r="737" spans="1:5" ht="14.25">
      <c r="A737" s="1298" t="s">
        <v>2257</v>
      </c>
      <c r="B737" s="1298">
        <v>1.8496999999999999</v>
      </c>
      <c r="C737" s="1298">
        <v>1.8496999999999999</v>
      </c>
      <c r="D737" s="1349">
        <v>1</v>
      </c>
      <c r="E737" s="1178">
        <f t="shared" si="11"/>
        <v>3</v>
      </c>
    </row>
    <row r="738" spans="1:5" ht="14.25">
      <c r="A738" s="1298" t="s">
        <v>2371</v>
      </c>
      <c r="B738" s="1298">
        <v>8.1537000000000006</v>
      </c>
      <c r="C738" s="1298">
        <v>9.4330999999999996</v>
      </c>
      <c r="D738" s="1349">
        <v>0.86437120352800245</v>
      </c>
      <c r="E738" s="1178">
        <f t="shared" si="11"/>
        <v>1.5</v>
      </c>
    </row>
    <row r="739" spans="1:5" ht="14.25">
      <c r="A739" s="1298" t="s">
        <v>2255</v>
      </c>
      <c r="B739" s="1298">
        <v>35.787599999999998</v>
      </c>
      <c r="C739" s="1298">
        <v>40.753599999999999</v>
      </c>
      <c r="D739" s="1349">
        <v>0.87814573436457144</v>
      </c>
      <c r="E739" s="1178">
        <f t="shared" si="11"/>
        <v>1.5</v>
      </c>
    </row>
    <row r="740" spans="1:5" ht="14.25">
      <c r="A740" s="1298" t="s">
        <v>2371</v>
      </c>
      <c r="B740" s="1298">
        <v>35.787599999999998</v>
      </c>
      <c r="C740" s="1298">
        <v>40.753599999999999</v>
      </c>
      <c r="D740" s="1349">
        <v>0.87814573436457144</v>
      </c>
      <c r="E740" s="1178">
        <f t="shared" si="11"/>
        <v>1.5</v>
      </c>
    </row>
    <row r="741" spans="1:5" ht="14.25">
      <c r="A741" s="1298" t="s">
        <v>2255</v>
      </c>
      <c r="B741" s="1298">
        <v>87.296499999999995</v>
      </c>
      <c r="C741" s="1298">
        <v>94.998199999999997</v>
      </c>
      <c r="D741" s="1349">
        <v>0.91892793758197522</v>
      </c>
      <c r="E741" s="1178">
        <f t="shared" si="11"/>
        <v>3</v>
      </c>
    </row>
    <row r="742" spans="1:5" ht="14.25">
      <c r="A742" s="1298" t="s">
        <v>2371</v>
      </c>
      <c r="B742" s="1298">
        <v>87.296499999999995</v>
      </c>
      <c r="C742" s="1298">
        <v>94.998199999999997</v>
      </c>
      <c r="D742" s="1349">
        <v>0.91892793758197522</v>
      </c>
      <c r="E742" s="1178">
        <f t="shared" si="11"/>
        <v>3</v>
      </c>
    </row>
    <row r="743" spans="1:5" ht="14.25">
      <c r="A743" s="1298" t="s">
        <v>2255</v>
      </c>
      <c r="B743" s="1298">
        <v>10.2698</v>
      </c>
      <c r="C743" s="1298">
        <v>13.411300000000001</v>
      </c>
      <c r="D743" s="1349">
        <v>0.76575723457084699</v>
      </c>
      <c r="E743" s="1178">
        <f t="shared" si="11"/>
        <v>0</v>
      </c>
    </row>
    <row r="744" spans="1:5" ht="14.25">
      <c r="A744" s="1298" t="s">
        <v>2370</v>
      </c>
      <c r="B744" s="1298">
        <v>0.94810000000000005</v>
      </c>
      <c r="C744" s="1298">
        <v>0.94810000000000005</v>
      </c>
      <c r="D744" s="1349">
        <v>1</v>
      </c>
      <c r="E744" s="1178">
        <f t="shared" si="11"/>
        <v>3</v>
      </c>
    </row>
    <row r="745" spans="1:5" ht="14.25">
      <c r="A745" s="1298" t="s">
        <v>2371</v>
      </c>
      <c r="B745" s="1298">
        <v>11.2179</v>
      </c>
      <c r="C745" s="1298">
        <v>14.359400000000001</v>
      </c>
      <c r="D745" s="1349">
        <v>0.78122344944774846</v>
      </c>
      <c r="E745" s="1178">
        <f t="shared" si="11"/>
        <v>0</v>
      </c>
    </row>
    <row r="746" spans="1:5" ht="14.25">
      <c r="A746" s="1298" t="s">
        <v>2255</v>
      </c>
      <c r="B746" s="1298">
        <v>348.04969999999997</v>
      </c>
      <c r="C746" s="1298">
        <v>378.79790000000003</v>
      </c>
      <c r="D746" s="1349">
        <v>0.91882689951554641</v>
      </c>
      <c r="E746" s="1178">
        <f t="shared" si="11"/>
        <v>3</v>
      </c>
    </row>
    <row r="747" spans="1:5" ht="14.25">
      <c r="A747" s="1298" t="s">
        <v>2258</v>
      </c>
      <c r="B747" s="1298">
        <v>71.576999999999998</v>
      </c>
      <c r="C747" s="1298">
        <v>74.868499999999997</v>
      </c>
      <c r="D747" s="1349">
        <v>0.95603625022539518</v>
      </c>
      <c r="E747" s="1178">
        <f t="shared" si="11"/>
        <v>3</v>
      </c>
    </row>
    <row r="748" spans="1:5" ht="14.25">
      <c r="A748" s="1298" t="s">
        <v>2257</v>
      </c>
      <c r="B748" s="1298">
        <v>7.5469999999999997</v>
      </c>
      <c r="C748" s="1298">
        <v>7.9245999999999999</v>
      </c>
      <c r="D748" s="1349">
        <v>0.95235090730131489</v>
      </c>
      <c r="E748" s="1178">
        <f t="shared" si="11"/>
        <v>3</v>
      </c>
    </row>
    <row r="749" spans="1:5" ht="14.25">
      <c r="A749" s="1298" t="s">
        <v>2370</v>
      </c>
      <c r="B749" s="1298">
        <v>2.2843</v>
      </c>
      <c r="C749" s="1298">
        <v>3.2222</v>
      </c>
      <c r="D749" s="1349">
        <v>0.70892557879709517</v>
      </c>
      <c r="E749" s="1178">
        <f t="shared" si="11"/>
        <v>0</v>
      </c>
    </row>
    <row r="750" spans="1:5" ht="14.25">
      <c r="A750" s="1298" t="s">
        <v>2371</v>
      </c>
      <c r="B750" s="1298">
        <v>429.45800000000003</v>
      </c>
      <c r="C750" s="1298">
        <v>464.81319999999999</v>
      </c>
      <c r="D750" s="1349">
        <v>0.9239367556687289</v>
      </c>
      <c r="E750" s="1178">
        <f t="shared" si="11"/>
        <v>3</v>
      </c>
    </row>
    <row r="751" spans="1:5" ht="14.25">
      <c r="A751" s="1298" t="s">
        <v>2255</v>
      </c>
      <c r="B751" s="1298">
        <v>8.8302999999999994</v>
      </c>
      <c r="C751" s="1298">
        <v>10.1639</v>
      </c>
      <c r="D751" s="1349">
        <v>0.86879052332274032</v>
      </c>
      <c r="E751" s="1178">
        <f t="shared" si="11"/>
        <v>1.5</v>
      </c>
    </row>
    <row r="752" spans="1:5" ht="14.25">
      <c r="A752" s="1298" t="s">
        <v>2257</v>
      </c>
      <c r="B752" s="1298">
        <v>32.272399999999998</v>
      </c>
      <c r="C752" s="1298">
        <v>32.272399999999998</v>
      </c>
      <c r="D752" s="1349">
        <v>1</v>
      </c>
      <c r="E752" s="1178">
        <f t="shared" si="11"/>
        <v>3</v>
      </c>
    </row>
    <row r="753" spans="1:5" ht="14.25">
      <c r="A753" s="1298" t="s">
        <v>2370</v>
      </c>
      <c r="B753" s="1298">
        <v>0.48799999999999999</v>
      </c>
      <c r="C753" s="1298">
        <v>0.48799999999999999</v>
      </c>
      <c r="D753" s="1349">
        <v>1</v>
      </c>
      <c r="E753" s="1178">
        <f t="shared" si="11"/>
        <v>3</v>
      </c>
    </row>
    <row r="754" spans="1:5" ht="14.25">
      <c r="A754" s="1298" t="s">
        <v>2371</v>
      </c>
      <c r="B754" s="1298">
        <v>41.590699999999998</v>
      </c>
      <c r="C754" s="1298">
        <v>42.924300000000002</v>
      </c>
      <c r="D754" s="1349">
        <v>0.96893135123927476</v>
      </c>
      <c r="E754" s="1178">
        <f t="shared" si="11"/>
        <v>3</v>
      </c>
    </row>
    <row r="755" spans="1:5" ht="14.25">
      <c r="A755" s="1298" t="s">
        <v>2255</v>
      </c>
      <c r="B755" s="1298">
        <v>39.314</v>
      </c>
      <c r="C755" s="1298">
        <v>41.656399999999998</v>
      </c>
      <c r="D755" s="1349">
        <v>0.94376854456938186</v>
      </c>
      <c r="E755" s="1178">
        <f t="shared" si="11"/>
        <v>3</v>
      </c>
    </row>
    <row r="756" spans="1:5" ht="14.25">
      <c r="A756" s="1298" t="s">
        <v>2371</v>
      </c>
      <c r="B756" s="1298">
        <v>39.314</v>
      </c>
      <c r="C756" s="1298">
        <v>41.656399999999998</v>
      </c>
      <c r="D756" s="1349">
        <v>0.94376854456938186</v>
      </c>
      <c r="E756" s="1178">
        <f t="shared" si="11"/>
        <v>3</v>
      </c>
    </row>
    <row r="757" spans="1:5" ht="14.25">
      <c r="A757" s="1298" t="s">
        <v>2255</v>
      </c>
      <c r="B757" s="1298">
        <v>35.0396</v>
      </c>
      <c r="C757" s="1298">
        <v>36.471200000000003</v>
      </c>
      <c r="D757" s="1349">
        <v>0.96074711004847657</v>
      </c>
      <c r="E757" s="1178">
        <f t="shared" si="11"/>
        <v>3</v>
      </c>
    </row>
    <row r="758" spans="1:5" ht="14.25">
      <c r="A758" s="1298" t="s">
        <v>2371</v>
      </c>
      <c r="B758" s="1298">
        <v>35.0396</v>
      </c>
      <c r="C758" s="1298">
        <v>36.471200000000003</v>
      </c>
      <c r="D758" s="1349">
        <v>0.96074711004847657</v>
      </c>
      <c r="E758" s="1178">
        <f t="shared" si="11"/>
        <v>3</v>
      </c>
    </row>
    <row r="759" spans="1:5" ht="14.25">
      <c r="A759" s="1298" t="s">
        <v>2255</v>
      </c>
      <c r="B759" s="1298">
        <v>83.183899999999994</v>
      </c>
      <c r="C759" s="1298">
        <v>88.291499999999999</v>
      </c>
      <c r="D759" s="1349">
        <v>0.94215071666015415</v>
      </c>
      <c r="E759" s="1178">
        <f t="shared" si="11"/>
        <v>3</v>
      </c>
    </row>
    <row r="760" spans="1:5" ht="14.25">
      <c r="A760" s="1298" t="s">
        <v>2257</v>
      </c>
      <c r="B760" s="1298">
        <v>32.272399999999998</v>
      </c>
      <c r="C760" s="1298">
        <v>32.272399999999998</v>
      </c>
      <c r="D760" s="1349">
        <v>1</v>
      </c>
      <c r="E760" s="1178">
        <f t="shared" si="11"/>
        <v>3</v>
      </c>
    </row>
    <row r="761" spans="1:5" ht="14.25">
      <c r="A761" s="1298" t="s">
        <v>2370</v>
      </c>
      <c r="B761" s="1298">
        <v>0.48799999999999999</v>
      </c>
      <c r="C761" s="1298">
        <v>0.48799999999999999</v>
      </c>
      <c r="D761" s="1349">
        <v>1</v>
      </c>
      <c r="E761" s="1178">
        <f t="shared" si="11"/>
        <v>3</v>
      </c>
    </row>
    <row r="762" spans="1:5" ht="14.25">
      <c r="A762" s="1298" t="s">
        <v>2371</v>
      </c>
      <c r="B762" s="1298">
        <v>115.9443</v>
      </c>
      <c r="C762" s="1298">
        <v>121.0519</v>
      </c>
      <c r="D762" s="1349">
        <v>0.95780652761336249</v>
      </c>
      <c r="E762" s="1178">
        <f t="shared" si="11"/>
        <v>3</v>
      </c>
    </row>
    <row r="763" spans="1:5" ht="14.25">
      <c r="A763" s="1298" t="s">
        <v>2255</v>
      </c>
      <c r="B763" s="1298">
        <v>162.2576</v>
      </c>
      <c r="C763" s="1298">
        <v>178.714</v>
      </c>
      <c r="D763" s="1349">
        <v>0.90791767852546523</v>
      </c>
      <c r="E763" s="1178">
        <f t="shared" si="11"/>
        <v>3</v>
      </c>
    </row>
    <row r="764" spans="1:5" ht="14.25">
      <c r="A764" s="1298" t="s">
        <v>2257</v>
      </c>
      <c r="B764" s="1298">
        <v>235.70339999999999</v>
      </c>
      <c r="C764" s="1298">
        <v>251.8252</v>
      </c>
      <c r="D764" s="1349">
        <v>0.93598019578660119</v>
      </c>
      <c r="E764" s="1178">
        <f t="shared" si="11"/>
        <v>3</v>
      </c>
    </row>
    <row r="765" spans="1:5" ht="14.25">
      <c r="A765" s="1298" t="s">
        <v>2370</v>
      </c>
      <c r="B765" s="1298">
        <v>0.1913</v>
      </c>
      <c r="C765" s="1298">
        <v>0.1913</v>
      </c>
      <c r="D765" s="1349">
        <v>1</v>
      </c>
      <c r="E765" s="1178">
        <f t="shared" si="11"/>
        <v>3</v>
      </c>
    </row>
    <row r="766" spans="1:5" ht="14.25">
      <c r="A766" s="1298" t="s">
        <v>2371</v>
      </c>
      <c r="B766" s="1298">
        <v>398.15230000000003</v>
      </c>
      <c r="C766" s="1298">
        <v>430.73050000000001</v>
      </c>
      <c r="D766" s="1349">
        <v>0.92436523533857018</v>
      </c>
      <c r="E766" s="1178">
        <f t="shared" si="11"/>
        <v>3</v>
      </c>
    </row>
    <row r="767" spans="1:5" ht="14.25">
      <c r="A767" s="1298" t="s">
        <v>2255</v>
      </c>
      <c r="B767" s="1298">
        <v>30.222799999999999</v>
      </c>
      <c r="C767" s="1298">
        <v>31.803899999999999</v>
      </c>
      <c r="D767" s="1349">
        <v>0.95028597121736647</v>
      </c>
      <c r="E767" s="1178">
        <f t="shared" si="11"/>
        <v>3</v>
      </c>
    </row>
    <row r="768" spans="1:5" ht="14.25">
      <c r="A768" s="1298" t="s">
        <v>2257</v>
      </c>
      <c r="B768" s="1298">
        <v>16.570599999999999</v>
      </c>
      <c r="C768" s="1298">
        <v>17.9482</v>
      </c>
      <c r="D768" s="1349">
        <v>0.92324578509265554</v>
      </c>
      <c r="E768" s="1178">
        <f t="shared" si="11"/>
        <v>3</v>
      </c>
    </row>
    <row r="769" spans="1:5" ht="14.25">
      <c r="A769" s="1298" t="s">
        <v>2370</v>
      </c>
      <c r="B769" s="1298">
        <v>0.87709999999999999</v>
      </c>
      <c r="C769" s="1298">
        <v>0.87770000000000004</v>
      </c>
      <c r="D769" s="1349">
        <v>0.99931639512361858</v>
      </c>
      <c r="E769" s="1178">
        <f t="shared" si="11"/>
        <v>3</v>
      </c>
    </row>
    <row r="770" spans="1:5" ht="14.25">
      <c r="A770" s="1298" t="s">
        <v>2371</v>
      </c>
      <c r="B770" s="1298">
        <v>47.670499999999997</v>
      </c>
      <c r="C770" s="1298">
        <v>50.629800000000003</v>
      </c>
      <c r="D770" s="1349">
        <v>0.94155023326183396</v>
      </c>
      <c r="E770" s="1178">
        <f t="shared" si="11"/>
        <v>3</v>
      </c>
    </row>
    <row r="771" spans="1:5" ht="14.25">
      <c r="A771" s="1298" t="s">
        <v>2255</v>
      </c>
      <c r="B771" s="1298">
        <v>23.460899999999999</v>
      </c>
      <c r="C771" s="1298">
        <v>23.660699999999999</v>
      </c>
      <c r="D771" s="1349">
        <v>0.99155561754301436</v>
      </c>
      <c r="E771" s="1178">
        <f t="shared" ref="E771:E834" si="12">IF(D771&gt;0.9,3,IF(D771&gt;0.8,1.5,0))</f>
        <v>3</v>
      </c>
    </row>
    <row r="772" spans="1:5" ht="14.25">
      <c r="A772" s="1298" t="s">
        <v>2371</v>
      </c>
      <c r="B772" s="1298">
        <v>23.460899999999999</v>
      </c>
      <c r="C772" s="1298">
        <v>23.660699999999999</v>
      </c>
      <c r="D772" s="1349">
        <v>0.99155561754301436</v>
      </c>
      <c r="E772" s="1178">
        <f t="shared" si="12"/>
        <v>3</v>
      </c>
    </row>
    <row r="773" spans="1:5" ht="14.25">
      <c r="A773" s="1298" t="s">
        <v>2255</v>
      </c>
      <c r="B773" s="1298">
        <v>40.773899999999998</v>
      </c>
      <c r="C773" s="1298">
        <v>42.5441</v>
      </c>
      <c r="D773" s="1349">
        <v>0.9583914103248159</v>
      </c>
      <c r="E773" s="1178">
        <f t="shared" si="12"/>
        <v>3</v>
      </c>
    </row>
    <row r="774" spans="1:5" ht="14.25">
      <c r="A774" s="1298" t="s">
        <v>2370</v>
      </c>
      <c r="B774" s="1298">
        <v>0.31240000000000001</v>
      </c>
      <c r="C774" s="1298">
        <v>0.313</v>
      </c>
      <c r="D774" s="1349">
        <v>0.99808306709265171</v>
      </c>
      <c r="E774" s="1178">
        <f t="shared" si="12"/>
        <v>3</v>
      </c>
    </row>
    <row r="775" spans="1:5" ht="14.25">
      <c r="A775" s="1298" t="s">
        <v>2371</v>
      </c>
      <c r="B775" s="1298">
        <v>41.086300000000001</v>
      </c>
      <c r="C775" s="1298">
        <v>42.857100000000003</v>
      </c>
      <c r="D775" s="1349">
        <v>0.95868129201462537</v>
      </c>
      <c r="E775" s="1178">
        <f t="shared" si="12"/>
        <v>3</v>
      </c>
    </row>
    <row r="776" spans="1:5" ht="14.25">
      <c r="A776" s="1298" t="s">
        <v>2255</v>
      </c>
      <c r="B776" s="1298">
        <v>16.5184</v>
      </c>
      <c r="C776" s="1298">
        <v>17.542999999999999</v>
      </c>
      <c r="D776" s="1349">
        <v>0.94159493815196948</v>
      </c>
      <c r="E776" s="1178">
        <f t="shared" si="12"/>
        <v>3</v>
      </c>
    </row>
    <row r="777" spans="1:5" ht="14.25">
      <c r="A777" s="1298" t="s">
        <v>2371</v>
      </c>
      <c r="B777" s="1298">
        <v>16.5184</v>
      </c>
      <c r="C777" s="1298">
        <v>17.542999999999999</v>
      </c>
      <c r="D777" s="1349">
        <v>0.94159493815196948</v>
      </c>
      <c r="E777" s="1178">
        <f t="shared" si="12"/>
        <v>3</v>
      </c>
    </row>
    <row r="778" spans="1:5" ht="14.25">
      <c r="A778" s="1298" t="s">
        <v>2255</v>
      </c>
      <c r="B778" s="1298">
        <v>273.23360000000002</v>
      </c>
      <c r="C778" s="1298">
        <v>294.26569999999998</v>
      </c>
      <c r="D778" s="1349">
        <v>0.92852683816020687</v>
      </c>
      <c r="E778" s="1178">
        <f t="shared" si="12"/>
        <v>3</v>
      </c>
    </row>
    <row r="779" spans="1:5" ht="14.25">
      <c r="A779" s="1298" t="s">
        <v>2257</v>
      </c>
      <c r="B779" s="1298">
        <v>252.274</v>
      </c>
      <c r="C779" s="1298">
        <v>269.77339999999998</v>
      </c>
      <c r="D779" s="1349">
        <v>0.93513296714946692</v>
      </c>
      <c r="E779" s="1178">
        <f t="shared" si="12"/>
        <v>3</v>
      </c>
    </row>
    <row r="780" spans="1:5" ht="14.25">
      <c r="A780" s="1298" t="s">
        <v>2370</v>
      </c>
      <c r="B780" s="1298">
        <v>1.3808</v>
      </c>
      <c r="C780" s="1298">
        <v>1.3819999999999999</v>
      </c>
      <c r="D780" s="1349">
        <v>0.99913169319826334</v>
      </c>
      <c r="E780" s="1178">
        <f t="shared" si="12"/>
        <v>3</v>
      </c>
    </row>
    <row r="781" spans="1:5" ht="14.25">
      <c r="A781" s="1298" t="s">
        <v>2371</v>
      </c>
      <c r="B781" s="1298">
        <v>526.88840000000005</v>
      </c>
      <c r="C781" s="1298">
        <v>565.42110000000002</v>
      </c>
      <c r="D781" s="1349">
        <v>0.93185132284592842</v>
      </c>
      <c r="E781" s="1178">
        <f t="shared" si="12"/>
        <v>3</v>
      </c>
    </row>
    <row r="782" spans="1:5" ht="14.25">
      <c r="A782" s="1298" t="s">
        <v>2255</v>
      </c>
      <c r="B782" s="1298">
        <v>73.701599999999999</v>
      </c>
      <c r="C782" s="1298">
        <v>82.862499999999997</v>
      </c>
      <c r="D782" s="1349">
        <v>0.8894445617740232</v>
      </c>
      <c r="E782" s="1178">
        <f t="shared" si="12"/>
        <v>1.5</v>
      </c>
    </row>
    <row r="783" spans="1:5" ht="14.25">
      <c r="A783" s="1298" t="s">
        <v>2257</v>
      </c>
      <c r="B783" s="1298">
        <v>139.70230000000001</v>
      </c>
      <c r="C783" s="1298">
        <v>144.06890000000001</v>
      </c>
      <c r="D783" s="1349">
        <v>0.96969089095564687</v>
      </c>
      <c r="E783" s="1178">
        <f t="shared" si="12"/>
        <v>3</v>
      </c>
    </row>
    <row r="784" spans="1:5" ht="14.25">
      <c r="A784" s="1298" t="s">
        <v>2370</v>
      </c>
      <c r="B784" s="1298">
        <v>2.1791</v>
      </c>
      <c r="C784" s="1298">
        <v>2.1791</v>
      </c>
      <c r="D784" s="1349">
        <v>1</v>
      </c>
      <c r="E784" s="1178">
        <f t="shared" si="12"/>
        <v>3</v>
      </c>
    </row>
    <row r="785" spans="1:5" ht="14.25">
      <c r="A785" s="1298" t="s">
        <v>2371</v>
      </c>
      <c r="B785" s="1298">
        <v>215.583</v>
      </c>
      <c r="C785" s="1298">
        <v>229.1105</v>
      </c>
      <c r="D785" s="1349">
        <v>0.940956438050635</v>
      </c>
      <c r="E785" s="1178">
        <f t="shared" si="12"/>
        <v>3</v>
      </c>
    </row>
    <row r="786" spans="1:5" ht="14.25">
      <c r="A786" s="1298" t="s">
        <v>2255</v>
      </c>
      <c r="B786" s="1298">
        <v>23.031099999999999</v>
      </c>
      <c r="C786" s="1298">
        <v>23.390899999999998</v>
      </c>
      <c r="D786" s="1349">
        <v>0.98461794971548766</v>
      </c>
      <c r="E786" s="1178">
        <f t="shared" si="12"/>
        <v>3</v>
      </c>
    </row>
    <row r="787" spans="1:5" ht="14.25">
      <c r="A787" s="1298" t="s">
        <v>2370</v>
      </c>
      <c r="B787" s="1298">
        <v>0.45279999999999998</v>
      </c>
      <c r="C787" s="1298">
        <v>0.45279999999999998</v>
      </c>
      <c r="D787" s="1349">
        <v>1</v>
      </c>
      <c r="E787" s="1178">
        <f t="shared" si="12"/>
        <v>3</v>
      </c>
    </row>
    <row r="788" spans="1:5" ht="14.25">
      <c r="A788" s="1298" t="s">
        <v>2371</v>
      </c>
      <c r="B788" s="1298">
        <v>23.483899999999998</v>
      </c>
      <c r="C788" s="1298">
        <v>23.843699999999998</v>
      </c>
      <c r="D788" s="1349">
        <v>0.98491006009973281</v>
      </c>
      <c r="E788" s="1178">
        <f t="shared" si="12"/>
        <v>3</v>
      </c>
    </row>
    <row r="789" spans="1:5" ht="14.25">
      <c r="A789" s="1298" t="s">
        <v>2255</v>
      </c>
      <c r="B789" s="1298">
        <v>41.892899999999997</v>
      </c>
      <c r="C789" s="1298">
        <v>45.308500000000002</v>
      </c>
      <c r="D789" s="1349">
        <v>0.92461458666696095</v>
      </c>
      <c r="E789" s="1178">
        <f t="shared" si="12"/>
        <v>3</v>
      </c>
    </row>
    <row r="790" spans="1:5" ht="14.25">
      <c r="A790" s="1298" t="s">
        <v>2257</v>
      </c>
      <c r="B790" s="1298">
        <v>0.1913</v>
      </c>
      <c r="C790" s="1298">
        <v>0.1913</v>
      </c>
      <c r="D790" s="1349">
        <v>1</v>
      </c>
      <c r="E790" s="1178">
        <f t="shared" si="12"/>
        <v>3</v>
      </c>
    </row>
    <row r="791" spans="1:5" ht="14.25">
      <c r="A791" s="1298" t="s">
        <v>2371</v>
      </c>
      <c r="B791" s="1298">
        <v>42.084200000000003</v>
      </c>
      <c r="C791" s="1298">
        <v>45.4998</v>
      </c>
      <c r="D791" s="1349">
        <v>0.92493153816060725</v>
      </c>
      <c r="E791" s="1178">
        <f t="shared" si="12"/>
        <v>3</v>
      </c>
    </row>
    <row r="792" spans="1:5" ht="14.25">
      <c r="A792" s="1298" t="s">
        <v>2255</v>
      </c>
      <c r="B792" s="1298">
        <v>64.924000000000007</v>
      </c>
      <c r="C792" s="1298">
        <v>68.699399999999997</v>
      </c>
      <c r="D792" s="1349">
        <v>0.94504464376690334</v>
      </c>
      <c r="E792" s="1178">
        <f t="shared" si="12"/>
        <v>3</v>
      </c>
    </row>
    <row r="793" spans="1:5" ht="14.25">
      <c r="A793" s="1298" t="s">
        <v>2257</v>
      </c>
      <c r="B793" s="1298">
        <v>0.1913</v>
      </c>
      <c r="C793" s="1298">
        <v>0.1913</v>
      </c>
      <c r="D793" s="1349">
        <v>1</v>
      </c>
      <c r="E793" s="1178">
        <f t="shared" si="12"/>
        <v>3</v>
      </c>
    </row>
    <row r="794" spans="1:5" ht="14.25">
      <c r="A794" s="1298" t="s">
        <v>2370</v>
      </c>
      <c r="B794" s="1298">
        <v>0.45279999999999998</v>
      </c>
      <c r="C794" s="1298">
        <v>0.45279999999999998</v>
      </c>
      <c r="D794" s="1349">
        <v>1</v>
      </c>
      <c r="E794" s="1178">
        <f t="shared" si="12"/>
        <v>3</v>
      </c>
    </row>
    <row r="795" spans="1:5" ht="14.25">
      <c r="A795" s="1298" t="s">
        <v>2371</v>
      </c>
      <c r="B795" s="1298">
        <v>65.568100000000001</v>
      </c>
      <c r="C795" s="1298">
        <v>69.343500000000006</v>
      </c>
      <c r="D795" s="1349">
        <v>0.94555509889174905</v>
      </c>
      <c r="E795" s="1178">
        <f t="shared" si="12"/>
        <v>3</v>
      </c>
    </row>
    <row r="796" spans="1:5" ht="14.25">
      <c r="A796" s="1298" t="s">
        <v>2255</v>
      </c>
      <c r="B796" s="1298">
        <v>1969.0179000000001</v>
      </c>
      <c r="C796" s="1298">
        <v>2096.7581</v>
      </c>
      <c r="D796" s="1349">
        <v>0.93907728316394723</v>
      </c>
      <c r="E796" s="1178">
        <f t="shared" si="12"/>
        <v>3</v>
      </c>
    </row>
    <row r="797" spans="1:5" ht="14.25">
      <c r="A797" s="1298" t="s">
        <v>2258</v>
      </c>
      <c r="B797" s="1298">
        <v>207.9752</v>
      </c>
      <c r="C797" s="1298">
        <v>214.9014</v>
      </c>
      <c r="D797" s="1349">
        <v>0.96777033560507286</v>
      </c>
      <c r="E797" s="1178">
        <f t="shared" si="12"/>
        <v>3</v>
      </c>
    </row>
    <row r="798" spans="1:5" ht="14.25">
      <c r="A798" s="1298" t="s">
        <v>2257</v>
      </c>
      <c r="B798" s="1298">
        <v>946.72050000000002</v>
      </c>
      <c r="C798" s="1298">
        <v>979.18029999999999</v>
      </c>
      <c r="D798" s="1349">
        <v>0.96685002751791471</v>
      </c>
      <c r="E798" s="1178">
        <f t="shared" si="12"/>
        <v>3</v>
      </c>
    </row>
    <row r="799" spans="1:5" ht="14.25">
      <c r="A799" s="1298" t="s">
        <v>2370</v>
      </c>
      <c r="B799" s="1298">
        <v>20.3171</v>
      </c>
      <c r="C799" s="1298">
        <v>21.337700000000002</v>
      </c>
      <c r="D799" s="1349">
        <v>0.95216916537396257</v>
      </c>
      <c r="E799" s="1178">
        <f t="shared" si="12"/>
        <v>3</v>
      </c>
    </row>
    <row r="800" spans="1:5" ht="14.25">
      <c r="A800" s="1298" t="s">
        <v>2371</v>
      </c>
      <c r="B800" s="1298">
        <v>3144.0306999999998</v>
      </c>
      <c r="C800" s="1298">
        <v>3312.1774999999998</v>
      </c>
      <c r="D800" s="1349">
        <v>0.9492337593622322</v>
      </c>
      <c r="E800" s="1178">
        <f t="shared" si="12"/>
        <v>3</v>
      </c>
    </row>
    <row r="801" spans="1:5" ht="14.25">
      <c r="A801" s="1298" t="s">
        <v>2255</v>
      </c>
      <c r="B801" s="1298">
        <v>491.339</v>
      </c>
      <c r="C801" s="1298">
        <v>498.3537</v>
      </c>
      <c r="D801" s="1349">
        <v>0.9859242541993769</v>
      </c>
      <c r="E801" s="1178">
        <f t="shared" si="12"/>
        <v>3</v>
      </c>
    </row>
    <row r="802" spans="1:5" ht="14.25">
      <c r="A802" s="1298" t="s">
        <v>2258</v>
      </c>
      <c r="B802" s="1298">
        <v>74.663600000000002</v>
      </c>
      <c r="C802" s="1298">
        <v>75.328900000000004</v>
      </c>
      <c r="D802" s="1349">
        <v>0.99116806431528937</v>
      </c>
      <c r="E802" s="1178">
        <f t="shared" si="12"/>
        <v>3</v>
      </c>
    </row>
    <row r="803" spans="1:5" ht="14.25">
      <c r="A803" s="1298" t="s">
        <v>2257</v>
      </c>
      <c r="B803" s="1298">
        <v>105.61660000000001</v>
      </c>
      <c r="C803" s="1298">
        <v>105.61660000000001</v>
      </c>
      <c r="D803" s="1349">
        <v>1</v>
      </c>
      <c r="E803" s="1178">
        <f t="shared" si="12"/>
        <v>3</v>
      </c>
    </row>
    <row r="804" spans="1:5" ht="14.25">
      <c r="A804" s="1298" t="s">
        <v>2370</v>
      </c>
      <c r="B804" s="1298">
        <v>0.99550000000000005</v>
      </c>
      <c r="C804" s="1298">
        <v>0.99550000000000005</v>
      </c>
      <c r="D804" s="1349">
        <v>1</v>
      </c>
      <c r="E804" s="1178">
        <f t="shared" si="12"/>
        <v>3</v>
      </c>
    </row>
    <row r="805" spans="1:5" ht="14.25">
      <c r="A805" s="1298" t="s">
        <v>2371</v>
      </c>
      <c r="B805" s="1298">
        <v>672.61469999999997</v>
      </c>
      <c r="C805" s="1298">
        <v>680.29470000000003</v>
      </c>
      <c r="D805" s="1349">
        <v>0.98871077490387627</v>
      </c>
      <c r="E805" s="1178">
        <f t="shared" si="12"/>
        <v>3</v>
      </c>
    </row>
    <row r="806" spans="1:5" ht="14.25">
      <c r="A806" s="1298" t="s">
        <v>2255</v>
      </c>
      <c r="B806" s="1298">
        <v>994.13649999999996</v>
      </c>
      <c r="C806" s="1298">
        <v>1029.6072999999999</v>
      </c>
      <c r="D806" s="1349">
        <v>0.96554919530970695</v>
      </c>
      <c r="E806" s="1178">
        <f t="shared" si="12"/>
        <v>3</v>
      </c>
    </row>
    <row r="807" spans="1:5" ht="14.25">
      <c r="A807" s="1298" t="s">
        <v>2258</v>
      </c>
      <c r="B807" s="1298">
        <v>90.192099999999996</v>
      </c>
      <c r="C807" s="1298">
        <v>93.867099999999994</v>
      </c>
      <c r="D807" s="1349">
        <v>0.96084890233106168</v>
      </c>
      <c r="E807" s="1178">
        <f t="shared" si="12"/>
        <v>3</v>
      </c>
    </row>
    <row r="808" spans="1:5" ht="14.25">
      <c r="A808" s="1298" t="s">
        <v>2257</v>
      </c>
      <c r="B808" s="1298">
        <v>228.9143</v>
      </c>
      <c r="C808" s="1298">
        <v>231.76410000000001</v>
      </c>
      <c r="D808" s="1349">
        <v>0.98770387648475322</v>
      </c>
      <c r="E808" s="1178">
        <f t="shared" si="12"/>
        <v>3</v>
      </c>
    </row>
    <row r="809" spans="1:5" ht="14.25">
      <c r="A809" s="1298" t="s">
        <v>2370</v>
      </c>
      <c r="B809" s="1298">
        <v>0.50949999999999995</v>
      </c>
      <c r="C809" s="1298">
        <v>0.50949999999999995</v>
      </c>
      <c r="D809" s="1349">
        <v>1</v>
      </c>
      <c r="E809" s="1178">
        <f t="shared" si="12"/>
        <v>3</v>
      </c>
    </row>
    <row r="810" spans="1:5" ht="14.25">
      <c r="A810" s="1298" t="s">
        <v>2371</v>
      </c>
      <c r="B810" s="1298">
        <v>1313.7524000000001</v>
      </c>
      <c r="C810" s="1298">
        <v>1355.748</v>
      </c>
      <c r="D810" s="1349">
        <v>0.96902403691541494</v>
      </c>
      <c r="E810" s="1178">
        <f t="shared" si="12"/>
        <v>3</v>
      </c>
    </row>
    <row r="811" spans="1:5" ht="14.25">
      <c r="A811" s="1298" t="s">
        <v>2255</v>
      </c>
      <c r="B811" s="1298">
        <v>322.5317</v>
      </c>
      <c r="C811" s="1298">
        <v>374.56490000000002</v>
      </c>
      <c r="D811" s="1349">
        <v>0.86108361995477956</v>
      </c>
      <c r="E811" s="1178">
        <f t="shared" si="12"/>
        <v>1.5</v>
      </c>
    </row>
    <row r="812" spans="1:5" ht="14.25">
      <c r="A812" s="1298" t="s">
        <v>2257</v>
      </c>
      <c r="B812" s="1298">
        <v>104.0565</v>
      </c>
      <c r="C812" s="1298">
        <v>104.0565</v>
      </c>
      <c r="D812" s="1349">
        <v>1</v>
      </c>
      <c r="E812" s="1178">
        <f t="shared" si="12"/>
        <v>3</v>
      </c>
    </row>
    <row r="813" spans="1:5" ht="14.25">
      <c r="A813" s="1298" t="s">
        <v>2370</v>
      </c>
      <c r="B813" s="1298">
        <v>0.2883</v>
      </c>
      <c r="C813" s="1298">
        <v>0.2883</v>
      </c>
      <c r="D813" s="1349">
        <v>1</v>
      </c>
      <c r="E813" s="1178">
        <f t="shared" si="12"/>
        <v>3</v>
      </c>
    </row>
    <row r="814" spans="1:5" ht="14.25">
      <c r="A814" s="1298" t="s">
        <v>2371</v>
      </c>
      <c r="B814" s="1298">
        <v>426.87650000000002</v>
      </c>
      <c r="C814" s="1298">
        <v>478.90969999999999</v>
      </c>
      <c r="D814" s="1349">
        <v>0.89135070765950242</v>
      </c>
      <c r="E814" s="1178">
        <f t="shared" si="12"/>
        <v>1.5</v>
      </c>
    </row>
    <row r="815" spans="1:5" ht="14.25">
      <c r="A815" s="1298" t="s">
        <v>2255</v>
      </c>
      <c r="B815" s="1298">
        <v>96.182699999999997</v>
      </c>
      <c r="C815" s="1298">
        <v>98.327600000000004</v>
      </c>
      <c r="D815" s="1349">
        <v>0.97818618577083138</v>
      </c>
      <c r="E815" s="1178">
        <f t="shared" si="12"/>
        <v>3</v>
      </c>
    </row>
    <row r="816" spans="1:5" ht="14.25">
      <c r="A816" s="1298" t="s">
        <v>2258</v>
      </c>
      <c r="B816" s="1298">
        <v>105.39530000000001</v>
      </c>
      <c r="C816" s="1298">
        <v>113.66670000000001</v>
      </c>
      <c r="D816" s="1349">
        <v>0.92723110638383976</v>
      </c>
      <c r="E816" s="1178">
        <f t="shared" si="12"/>
        <v>3</v>
      </c>
    </row>
    <row r="817" spans="1:5" ht="14.25">
      <c r="A817" s="1298" t="s">
        <v>2257</v>
      </c>
      <c r="B817" s="1298">
        <v>151.251</v>
      </c>
      <c r="C817" s="1298">
        <v>151.62860000000001</v>
      </c>
      <c r="D817" s="1349">
        <v>0.99750970463355859</v>
      </c>
      <c r="E817" s="1178">
        <f t="shared" si="12"/>
        <v>3</v>
      </c>
    </row>
    <row r="818" spans="1:5" ht="14.25">
      <c r="A818" s="1298" t="s">
        <v>2370</v>
      </c>
      <c r="B818" s="1298">
        <v>1.3496999999999999</v>
      </c>
      <c r="C818" s="1298">
        <v>1.3496999999999999</v>
      </c>
      <c r="D818" s="1349">
        <v>1</v>
      </c>
      <c r="E818" s="1178">
        <f t="shared" si="12"/>
        <v>3</v>
      </c>
    </row>
    <row r="819" spans="1:5" ht="14.25">
      <c r="A819" s="1298" t="s">
        <v>2371</v>
      </c>
      <c r="B819" s="1298">
        <v>354.17869999999999</v>
      </c>
      <c r="C819" s="1298">
        <v>364.9726</v>
      </c>
      <c r="D819" s="1349">
        <v>0.97042545111605638</v>
      </c>
      <c r="E819" s="1178">
        <f t="shared" si="12"/>
        <v>3</v>
      </c>
    </row>
    <row r="820" spans="1:5" ht="14.25">
      <c r="A820" s="1298" t="s">
        <v>2255</v>
      </c>
      <c r="B820" s="1298">
        <v>267.6019</v>
      </c>
      <c r="C820" s="1298">
        <v>274.40359999999998</v>
      </c>
      <c r="D820" s="1349">
        <v>0.97521278875350037</v>
      </c>
      <c r="E820" s="1178">
        <f t="shared" si="12"/>
        <v>3</v>
      </c>
    </row>
    <row r="821" spans="1:5" ht="14.25">
      <c r="A821" s="1298" t="s">
        <v>2257</v>
      </c>
      <c r="B821" s="1298">
        <v>22.8</v>
      </c>
      <c r="C821" s="1298">
        <v>24.3</v>
      </c>
      <c r="D821" s="1349">
        <v>0.93827160493827155</v>
      </c>
      <c r="E821" s="1178">
        <f t="shared" si="12"/>
        <v>3</v>
      </c>
    </row>
    <row r="822" spans="1:5" ht="14.25">
      <c r="A822" s="1298" t="s">
        <v>2371</v>
      </c>
      <c r="B822" s="1298">
        <v>290.40190000000001</v>
      </c>
      <c r="C822" s="1298">
        <v>298.70359999999999</v>
      </c>
      <c r="D822" s="1349">
        <v>0.97220756629648919</v>
      </c>
      <c r="E822" s="1178">
        <f t="shared" si="12"/>
        <v>3</v>
      </c>
    </row>
    <row r="823" spans="1:5" ht="14.25">
      <c r="A823" s="1298" t="s">
        <v>2255</v>
      </c>
      <c r="B823" s="1298">
        <v>199.94149999999999</v>
      </c>
      <c r="C823" s="1298">
        <v>205.8793</v>
      </c>
      <c r="D823" s="1349">
        <v>0.97115882946949983</v>
      </c>
      <c r="E823" s="1178">
        <f t="shared" si="12"/>
        <v>3</v>
      </c>
    </row>
    <row r="824" spans="1:5" ht="14.25">
      <c r="A824" s="1298" t="s">
        <v>2257</v>
      </c>
      <c r="B824" s="1298">
        <v>28.6</v>
      </c>
      <c r="C824" s="1298">
        <v>28.6</v>
      </c>
      <c r="D824" s="1349">
        <v>1</v>
      </c>
      <c r="E824" s="1178">
        <f t="shared" si="12"/>
        <v>3</v>
      </c>
    </row>
    <row r="825" spans="1:5" ht="14.25">
      <c r="A825" s="1298" t="s">
        <v>2370</v>
      </c>
      <c r="B825" s="1298">
        <v>0.4778</v>
      </c>
      <c r="C825" s="1298">
        <v>0.4778</v>
      </c>
      <c r="D825" s="1349">
        <v>1</v>
      </c>
      <c r="E825" s="1178">
        <f t="shared" si="12"/>
        <v>3</v>
      </c>
    </row>
    <row r="826" spans="1:5" ht="14.25">
      <c r="A826" s="1298" t="s">
        <v>2371</v>
      </c>
      <c r="B826" s="1298">
        <v>229.01929999999999</v>
      </c>
      <c r="C826" s="1298">
        <v>234.9571</v>
      </c>
      <c r="D826" s="1349">
        <v>0.97472815250103106</v>
      </c>
      <c r="E826" s="1178">
        <f t="shared" si="12"/>
        <v>3</v>
      </c>
    </row>
    <row r="827" spans="1:5" ht="14.25">
      <c r="A827" s="1298" t="s">
        <v>2255</v>
      </c>
      <c r="B827" s="1298">
        <v>186.7097</v>
      </c>
      <c r="C827" s="1298">
        <v>190.6703</v>
      </c>
      <c r="D827" s="1349">
        <v>0.9792280182073454</v>
      </c>
      <c r="E827" s="1178">
        <f t="shared" si="12"/>
        <v>3</v>
      </c>
    </row>
    <row r="828" spans="1:5" ht="14.25">
      <c r="A828" s="1298" t="s">
        <v>2257</v>
      </c>
      <c r="B828" s="1298">
        <v>5.2</v>
      </c>
      <c r="C828" s="1298">
        <v>6.2</v>
      </c>
      <c r="D828" s="1349">
        <v>0.83870967741935487</v>
      </c>
      <c r="E828" s="1178">
        <f t="shared" si="12"/>
        <v>1.5</v>
      </c>
    </row>
    <row r="829" spans="1:5" ht="14.25">
      <c r="A829" s="1298" t="s">
        <v>2370</v>
      </c>
      <c r="B829" s="1298">
        <v>0.26100000000000001</v>
      </c>
      <c r="C829" s="1298">
        <v>0.26100000000000001</v>
      </c>
      <c r="D829" s="1349">
        <v>1</v>
      </c>
      <c r="E829" s="1178">
        <f t="shared" si="12"/>
        <v>3</v>
      </c>
    </row>
    <row r="830" spans="1:5" ht="14.25">
      <c r="A830" s="1298" t="s">
        <v>2371</v>
      </c>
      <c r="B830" s="1298">
        <v>192.17070000000001</v>
      </c>
      <c r="C830" s="1298">
        <v>197.13130000000001</v>
      </c>
      <c r="D830" s="1349">
        <v>0.97483606104154952</v>
      </c>
      <c r="E830" s="1178">
        <f t="shared" si="12"/>
        <v>3</v>
      </c>
    </row>
    <row r="831" spans="1:5" ht="14.25">
      <c r="A831" s="1298" t="s">
        <v>2255</v>
      </c>
      <c r="B831" s="1298">
        <v>71.896900000000002</v>
      </c>
      <c r="C831" s="1298">
        <v>74.157899999999998</v>
      </c>
      <c r="D831" s="1349">
        <v>0.96951100287359804</v>
      </c>
      <c r="E831" s="1178">
        <f t="shared" si="12"/>
        <v>3</v>
      </c>
    </row>
    <row r="832" spans="1:5" ht="14.25">
      <c r="A832" s="1298" t="s">
        <v>2257</v>
      </c>
      <c r="B832" s="1298">
        <v>11.4</v>
      </c>
      <c r="C832" s="1298">
        <v>11.4</v>
      </c>
      <c r="D832" s="1349">
        <v>1</v>
      </c>
      <c r="E832" s="1178">
        <f t="shared" si="12"/>
        <v>3</v>
      </c>
    </row>
    <row r="833" spans="1:5" ht="14.25">
      <c r="A833" s="1298" t="s">
        <v>2371</v>
      </c>
      <c r="B833" s="1298">
        <v>83.296899999999994</v>
      </c>
      <c r="C833" s="1298">
        <v>85.557900000000004</v>
      </c>
      <c r="D833" s="1349">
        <v>0.97357345142879848</v>
      </c>
      <c r="E833" s="1178">
        <f t="shared" si="12"/>
        <v>3</v>
      </c>
    </row>
    <row r="834" spans="1:5" ht="14.25">
      <c r="A834" s="1298" t="s">
        <v>2255</v>
      </c>
      <c r="B834" s="1298">
        <v>35.693899999999999</v>
      </c>
      <c r="C834" s="1298">
        <v>39.7318</v>
      </c>
      <c r="D834" s="1349">
        <v>0.89837107807851646</v>
      </c>
      <c r="E834" s="1178">
        <f t="shared" si="12"/>
        <v>1.5</v>
      </c>
    </row>
    <row r="835" spans="1:5" ht="14.25">
      <c r="A835" s="1298" t="s">
        <v>2257</v>
      </c>
      <c r="B835" s="1298">
        <v>7.7</v>
      </c>
      <c r="C835" s="1298">
        <v>8.1999999999999993</v>
      </c>
      <c r="D835" s="1349">
        <v>0.93902439024390238</v>
      </c>
      <c r="E835" s="1178">
        <f t="shared" ref="E835:E898" si="13">IF(D835&gt;0.9,3,IF(D835&gt;0.8,1.5,0))</f>
        <v>3</v>
      </c>
    </row>
    <row r="836" spans="1:5" ht="14.25">
      <c r="A836" s="1298" t="s">
        <v>2370</v>
      </c>
      <c r="B836" s="1298">
        <v>1.5262</v>
      </c>
      <c r="C836" s="1298">
        <v>1.5262</v>
      </c>
      <c r="D836" s="1349">
        <v>1</v>
      </c>
      <c r="E836" s="1178">
        <f t="shared" si="13"/>
        <v>3</v>
      </c>
    </row>
    <row r="837" spans="1:5" ht="14.25">
      <c r="A837" s="1298" t="s">
        <v>2371</v>
      </c>
      <c r="B837" s="1298">
        <v>44.920099999999998</v>
      </c>
      <c r="C837" s="1298">
        <v>49.457999999999998</v>
      </c>
      <c r="D837" s="1349">
        <v>0.90824740183590114</v>
      </c>
      <c r="E837" s="1178">
        <f t="shared" si="13"/>
        <v>3</v>
      </c>
    </row>
    <row r="838" spans="1:5" ht="14.25">
      <c r="A838" s="1298" t="s">
        <v>2255</v>
      </c>
      <c r="B838" s="1298">
        <v>55.6554</v>
      </c>
      <c r="C838" s="1298">
        <v>58.699599999999997</v>
      </c>
      <c r="D838" s="1349">
        <v>0.94813933996143074</v>
      </c>
      <c r="E838" s="1178">
        <f t="shared" si="13"/>
        <v>3</v>
      </c>
    </row>
    <row r="839" spans="1:5" ht="14.25">
      <c r="A839" s="1298" t="s">
        <v>2257</v>
      </c>
      <c r="B839" s="1298">
        <v>37.9</v>
      </c>
      <c r="C839" s="1298">
        <v>38.5</v>
      </c>
      <c r="D839" s="1349">
        <v>0.98441558441558441</v>
      </c>
      <c r="E839" s="1178">
        <f t="shared" si="13"/>
        <v>3</v>
      </c>
    </row>
    <row r="840" spans="1:5" ht="14.25">
      <c r="A840" s="1298" t="s">
        <v>2370</v>
      </c>
      <c r="B840" s="1298">
        <v>1.2537</v>
      </c>
      <c r="C840" s="1298">
        <v>1.2537</v>
      </c>
      <c r="D840" s="1349">
        <v>1</v>
      </c>
      <c r="E840" s="1178">
        <f t="shared" si="13"/>
        <v>3</v>
      </c>
    </row>
    <row r="841" spans="1:5" ht="14.25">
      <c r="A841" s="1298" t="s">
        <v>2371</v>
      </c>
      <c r="B841" s="1298">
        <v>94.809100000000001</v>
      </c>
      <c r="C841" s="1298">
        <v>98.453299999999999</v>
      </c>
      <c r="D841" s="1349">
        <v>0.96298549667710476</v>
      </c>
      <c r="E841" s="1178">
        <f t="shared" si="13"/>
        <v>3</v>
      </c>
    </row>
    <row r="842" spans="1:5" ht="14.25">
      <c r="A842" s="1298" t="s">
        <v>2255</v>
      </c>
      <c r="B842" s="1298">
        <v>59.731900000000003</v>
      </c>
      <c r="C842" s="1298">
        <v>60.799399999999999</v>
      </c>
      <c r="D842" s="1349">
        <v>0.98244226094336462</v>
      </c>
      <c r="E842" s="1178">
        <f t="shared" si="13"/>
        <v>3</v>
      </c>
    </row>
    <row r="843" spans="1:5" ht="14.25">
      <c r="A843" s="1298" t="s">
        <v>2371</v>
      </c>
      <c r="B843" s="1298">
        <v>59.731900000000003</v>
      </c>
      <c r="C843" s="1298">
        <v>60.799399999999999</v>
      </c>
      <c r="D843" s="1349">
        <v>0.98244226094336462</v>
      </c>
      <c r="E843" s="1178">
        <f t="shared" si="13"/>
        <v>3</v>
      </c>
    </row>
    <row r="844" spans="1:5" ht="14.25">
      <c r="A844" s="1298" t="s">
        <v>2255</v>
      </c>
      <c r="B844" s="1298">
        <v>25.0243</v>
      </c>
      <c r="C844" s="1298">
        <v>26.3856</v>
      </c>
      <c r="D844" s="1349">
        <v>0.94840746467770298</v>
      </c>
      <c r="E844" s="1178">
        <f t="shared" si="13"/>
        <v>3</v>
      </c>
    </row>
    <row r="845" spans="1:5" ht="14.25">
      <c r="A845" s="1298" t="s">
        <v>2371</v>
      </c>
      <c r="B845" s="1298">
        <v>25.0243</v>
      </c>
      <c r="C845" s="1298">
        <v>26.3856</v>
      </c>
      <c r="D845" s="1349">
        <v>0.94840746467770298</v>
      </c>
      <c r="E845" s="1178">
        <f t="shared" si="13"/>
        <v>3</v>
      </c>
    </row>
    <row r="846" spans="1:5" ht="14.25">
      <c r="A846" s="1298" t="s">
        <v>2255</v>
      </c>
      <c r="B846" s="1298">
        <v>998.43820000000005</v>
      </c>
      <c r="C846" s="1298">
        <v>1029.0551</v>
      </c>
      <c r="D846" s="1349">
        <v>0.97024756011607149</v>
      </c>
      <c r="E846" s="1178">
        <f t="shared" si="13"/>
        <v>3</v>
      </c>
    </row>
    <row r="847" spans="1:5" ht="14.25">
      <c r="A847" s="1298" t="s">
        <v>2258</v>
      </c>
      <c r="B847" s="1298">
        <v>105.39530000000001</v>
      </c>
      <c r="C847" s="1298">
        <v>113.66670000000001</v>
      </c>
      <c r="D847" s="1349">
        <v>0.92723110638383976</v>
      </c>
      <c r="E847" s="1178">
        <f t="shared" si="13"/>
        <v>3</v>
      </c>
    </row>
    <row r="848" spans="1:5" ht="14.25">
      <c r="A848" s="1298" t="s">
        <v>2257</v>
      </c>
      <c r="B848" s="1298">
        <v>264.851</v>
      </c>
      <c r="C848" s="1298">
        <v>268.82859999999999</v>
      </c>
      <c r="D848" s="1349">
        <v>0.98520395523392967</v>
      </c>
      <c r="E848" s="1178">
        <f t="shared" si="13"/>
        <v>3</v>
      </c>
    </row>
    <row r="849" spans="1:5" ht="14.25">
      <c r="A849" s="1298" t="s">
        <v>2370</v>
      </c>
      <c r="B849" s="1298">
        <v>4.8684000000000003</v>
      </c>
      <c r="C849" s="1298">
        <v>4.8684000000000003</v>
      </c>
      <c r="D849" s="1349">
        <v>1</v>
      </c>
      <c r="E849" s="1178">
        <f t="shared" si="13"/>
        <v>3</v>
      </c>
    </row>
    <row r="850" spans="1:5" ht="14.25">
      <c r="A850" s="1298" t="s">
        <v>2371</v>
      </c>
      <c r="B850" s="1298">
        <v>1373.5528999999999</v>
      </c>
      <c r="C850" s="1298">
        <v>1416.4187999999999</v>
      </c>
      <c r="D850" s="1349">
        <v>0.96973642258913817</v>
      </c>
      <c r="E850" s="1178">
        <f t="shared" si="13"/>
        <v>3</v>
      </c>
    </row>
    <row r="851" spans="1:5" ht="14.25">
      <c r="A851" s="1298" t="s">
        <v>2255</v>
      </c>
      <c r="B851" s="1298">
        <v>105.32080000000001</v>
      </c>
      <c r="C851" s="1298">
        <v>108.4109</v>
      </c>
      <c r="D851" s="1349">
        <v>0.9714964085714628</v>
      </c>
      <c r="E851" s="1178">
        <f t="shared" si="13"/>
        <v>3</v>
      </c>
    </row>
    <row r="852" spans="1:5" ht="14.25">
      <c r="A852" s="1298" t="s">
        <v>2258</v>
      </c>
      <c r="B852" s="1298">
        <v>327.05799999999999</v>
      </c>
      <c r="C852" s="1298">
        <v>340.71820000000002</v>
      </c>
      <c r="D852" s="1349">
        <v>0.95990763041129001</v>
      </c>
      <c r="E852" s="1178">
        <f t="shared" si="13"/>
        <v>3</v>
      </c>
    </row>
    <row r="853" spans="1:5" ht="14.25">
      <c r="A853" s="1298" t="s">
        <v>2257</v>
      </c>
      <c r="B853" s="1298">
        <v>27.4986</v>
      </c>
      <c r="C853" s="1298">
        <v>30.065000000000001</v>
      </c>
      <c r="D853" s="1349">
        <v>0.91463828371860967</v>
      </c>
      <c r="E853" s="1178">
        <f t="shared" si="13"/>
        <v>3</v>
      </c>
    </row>
    <row r="854" spans="1:5" ht="14.25">
      <c r="A854" s="1298" t="s">
        <v>2371</v>
      </c>
      <c r="B854" s="1298">
        <v>459.87740000000002</v>
      </c>
      <c r="C854" s="1298">
        <v>479.19409999999999</v>
      </c>
      <c r="D854" s="1349">
        <v>0.9596891948377495</v>
      </c>
      <c r="E854" s="1178">
        <f t="shared" si="13"/>
        <v>3</v>
      </c>
    </row>
    <row r="855" spans="1:5" ht="14.25">
      <c r="A855" s="1298" t="s">
        <v>2255</v>
      </c>
      <c r="B855" s="1298">
        <v>105.8867</v>
      </c>
      <c r="C855" s="1298">
        <v>109.899</v>
      </c>
      <c r="D855" s="1349">
        <v>0.96349102357619265</v>
      </c>
      <c r="E855" s="1178">
        <f t="shared" si="13"/>
        <v>3</v>
      </c>
    </row>
    <row r="856" spans="1:5" ht="14.25">
      <c r="A856" s="1298" t="s">
        <v>2371</v>
      </c>
      <c r="B856" s="1298">
        <v>105.8867</v>
      </c>
      <c r="C856" s="1298">
        <v>109.899</v>
      </c>
      <c r="D856" s="1349">
        <v>0.96349102357619265</v>
      </c>
      <c r="E856" s="1178">
        <f t="shared" si="13"/>
        <v>3</v>
      </c>
    </row>
    <row r="857" spans="1:5" ht="14.25">
      <c r="A857" s="1298" t="s">
        <v>2255</v>
      </c>
      <c r="B857" s="1298">
        <v>100.1164</v>
      </c>
      <c r="C857" s="1298">
        <v>102.4404</v>
      </c>
      <c r="D857" s="1349">
        <v>0.97731363797876614</v>
      </c>
      <c r="E857" s="1178">
        <f t="shared" si="13"/>
        <v>3</v>
      </c>
    </row>
    <row r="858" spans="1:5" ht="14.25">
      <c r="A858" s="1298" t="s">
        <v>2257</v>
      </c>
      <c r="B858" s="1298">
        <v>28</v>
      </c>
      <c r="C858" s="1298">
        <v>28</v>
      </c>
      <c r="D858" s="1349">
        <v>1</v>
      </c>
      <c r="E858" s="1178">
        <f t="shared" si="13"/>
        <v>3</v>
      </c>
    </row>
    <row r="859" spans="1:5" ht="14.25">
      <c r="A859" s="1298" t="s">
        <v>2371</v>
      </c>
      <c r="B859" s="1298">
        <v>128.1164</v>
      </c>
      <c r="C859" s="1298">
        <v>130.44040000000001</v>
      </c>
      <c r="D859" s="1349">
        <v>0.98218343396677721</v>
      </c>
      <c r="E859" s="1178">
        <f t="shared" si="13"/>
        <v>3</v>
      </c>
    </row>
    <row r="860" spans="1:5" ht="14.25">
      <c r="A860" s="1298" t="s">
        <v>2255</v>
      </c>
      <c r="B860" s="1298">
        <v>302.51530000000002</v>
      </c>
      <c r="C860" s="1298">
        <v>306.38029999999998</v>
      </c>
      <c r="D860" s="1349">
        <v>0.98738495915044144</v>
      </c>
      <c r="E860" s="1178">
        <f t="shared" si="13"/>
        <v>3</v>
      </c>
    </row>
    <row r="861" spans="1:5" ht="14.25">
      <c r="A861" s="1298" t="s">
        <v>2257</v>
      </c>
      <c r="B861" s="1298">
        <v>33.799999999999997</v>
      </c>
      <c r="C861" s="1298">
        <v>33.799999999999997</v>
      </c>
      <c r="D861" s="1349">
        <v>1</v>
      </c>
      <c r="E861" s="1178">
        <f t="shared" si="13"/>
        <v>3</v>
      </c>
    </row>
    <row r="862" spans="1:5" ht="14.25">
      <c r="A862" s="1298" t="s">
        <v>2370</v>
      </c>
      <c r="B862" s="1298">
        <v>0.47339999999999999</v>
      </c>
      <c r="C862" s="1298">
        <v>0.47339999999999999</v>
      </c>
      <c r="D862" s="1349">
        <v>1</v>
      </c>
      <c r="E862" s="1178">
        <f t="shared" si="13"/>
        <v>3</v>
      </c>
    </row>
    <row r="863" spans="1:5" ht="14.25">
      <c r="A863" s="1298" t="s">
        <v>2371</v>
      </c>
      <c r="B863" s="1298">
        <v>336.78870000000001</v>
      </c>
      <c r="C863" s="1298">
        <v>340.65370000000001</v>
      </c>
      <c r="D863" s="1349">
        <v>0.98865416697367448</v>
      </c>
      <c r="E863" s="1178">
        <f t="shared" si="13"/>
        <v>3</v>
      </c>
    </row>
    <row r="864" spans="1:5" ht="14.25">
      <c r="A864" s="1298" t="s">
        <v>2255</v>
      </c>
      <c r="B864" s="1298">
        <v>74.760499999999993</v>
      </c>
      <c r="C864" s="1298">
        <v>81.056299999999993</v>
      </c>
      <c r="D864" s="1349">
        <v>0.92232806086633612</v>
      </c>
      <c r="E864" s="1178">
        <f t="shared" si="13"/>
        <v>3</v>
      </c>
    </row>
    <row r="865" spans="1:5" ht="14.25">
      <c r="A865" s="1298" t="s">
        <v>2257</v>
      </c>
      <c r="B865" s="1298">
        <v>9.6</v>
      </c>
      <c r="C865" s="1298">
        <v>9.6</v>
      </c>
      <c r="D865" s="1349">
        <v>1</v>
      </c>
      <c r="E865" s="1178">
        <f t="shared" si="13"/>
        <v>3</v>
      </c>
    </row>
    <row r="866" spans="1:5" ht="14.25">
      <c r="A866" s="1298" t="s">
        <v>2371</v>
      </c>
      <c r="B866" s="1298">
        <v>84.360500000000002</v>
      </c>
      <c r="C866" s="1298">
        <v>90.656300000000002</v>
      </c>
      <c r="D866" s="1349">
        <v>0.93055308897451139</v>
      </c>
      <c r="E866" s="1178">
        <f t="shared" si="13"/>
        <v>3</v>
      </c>
    </row>
    <row r="867" spans="1:5" ht="14.25">
      <c r="A867" s="1298" t="s">
        <v>2255</v>
      </c>
      <c r="B867" s="1298">
        <v>78.343199999999996</v>
      </c>
      <c r="C867" s="1298">
        <v>79.113399999999999</v>
      </c>
      <c r="D867" s="1349">
        <v>0.99026460751276013</v>
      </c>
      <c r="E867" s="1178">
        <f t="shared" si="13"/>
        <v>3</v>
      </c>
    </row>
    <row r="868" spans="1:5" ht="14.25">
      <c r="A868" s="1298" t="s">
        <v>2371</v>
      </c>
      <c r="B868" s="1298">
        <v>78.343199999999996</v>
      </c>
      <c r="C868" s="1298">
        <v>79.113399999999999</v>
      </c>
      <c r="D868" s="1349">
        <v>0.99026460751276013</v>
      </c>
      <c r="E868" s="1178">
        <f t="shared" si="13"/>
        <v>3</v>
      </c>
    </row>
    <row r="869" spans="1:5" ht="14.25">
      <c r="A869" s="1298" t="s">
        <v>2255</v>
      </c>
      <c r="B869" s="1298">
        <v>376.42169999999999</v>
      </c>
      <c r="C869" s="1298">
        <v>392.7002</v>
      </c>
      <c r="D869" s="1349">
        <v>0.95854725818830755</v>
      </c>
      <c r="E869" s="1178">
        <f t="shared" si="13"/>
        <v>3</v>
      </c>
    </row>
    <row r="870" spans="1:5" ht="14.25">
      <c r="A870" s="1298" t="s">
        <v>2257</v>
      </c>
      <c r="B870" s="1298">
        <v>1.5</v>
      </c>
      <c r="C870" s="1298">
        <v>1.5</v>
      </c>
      <c r="D870" s="1349">
        <v>1</v>
      </c>
      <c r="E870" s="1178">
        <f t="shared" si="13"/>
        <v>3</v>
      </c>
    </row>
    <row r="871" spans="1:5" ht="14.25">
      <c r="A871" s="1298" t="s">
        <v>2370</v>
      </c>
      <c r="B871" s="1298">
        <v>2.4171</v>
      </c>
      <c r="C871" s="1298">
        <v>2.4194</v>
      </c>
      <c r="D871" s="1349">
        <v>0.9990493510787799</v>
      </c>
      <c r="E871" s="1178">
        <f t="shared" si="13"/>
        <v>3</v>
      </c>
    </row>
    <row r="872" spans="1:5" ht="14.25">
      <c r="A872" s="1298" t="s">
        <v>2371</v>
      </c>
      <c r="B872" s="1298">
        <v>380.33879999999999</v>
      </c>
      <c r="C872" s="1298">
        <v>396.61959999999999</v>
      </c>
      <c r="D872" s="1349">
        <v>0.95895109570984394</v>
      </c>
      <c r="E872" s="1178">
        <f t="shared" si="13"/>
        <v>3</v>
      </c>
    </row>
    <row r="873" spans="1:5" ht="14.25">
      <c r="A873" s="1298" t="s">
        <v>2255</v>
      </c>
      <c r="B873" s="1298">
        <v>160.06479999999999</v>
      </c>
      <c r="C873" s="1298">
        <v>170.87020000000001</v>
      </c>
      <c r="D873" s="1349">
        <v>0.93676252500436008</v>
      </c>
      <c r="E873" s="1178">
        <f t="shared" si="13"/>
        <v>3</v>
      </c>
    </row>
    <row r="874" spans="1:5" ht="14.25">
      <c r="A874" s="1298" t="s">
        <v>2257</v>
      </c>
      <c r="B874" s="1298">
        <v>36.4</v>
      </c>
      <c r="C874" s="1298">
        <v>37.4</v>
      </c>
      <c r="D874" s="1349">
        <v>0.9732620320855615</v>
      </c>
      <c r="E874" s="1178">
        <f t="shared" si="13"/>
        <v>3</v>
      </c>
    </row>
    <row r="875" spans="1:5" ht="14.25">
      <c r="A875" s="1298" t="s">
        <v>2370</v>
      </c>
      <c r="B875" s="1298">
        <v>0.28399999999999997</v>
      </c>
      <c r="C875" s="1298">
        <v>0.28399999999999997</v>
      </c>
      <c r="D875" s="1349">
        <v>1</v>
      </c>
      <c r="E875" s="1178">
        <f t="shared" si="13"/>
        <v>3</v>
      </c>
    </row>
    <row r="876" spans="1:5" ht="14.25">
      <c r="A876" s="1298" t="s">
        <v>2371</v>
      </c>
      <c r="B876" s="1298">
        <v>196.74879999999999</v>
      </c>
      <c r="C876" s="1298">
        <v>208.55420000000001</v>
      </c>
      <c r="D876" s="1349">
        <v>0.94339409132014607</v>
      </c>
      <c r="E876" s="1178">
        <f t="shared" si="13"/>
        <v>3</v>
      </c>
    </row>
    <row r="877" spans="1:5" ht="14.25">
      <c r="A877" s="1298" t="s">
        <v>2255</v>
      </c>
      <c r="B877" s="1298">
        <v>9.1597000000000008</v>
      </c>
      <c r="C877" s="1298">
        <v>9.1576000000000004</v>
      </c>
      <c r="D877" s="1349">
        <v>1</v>
      </c>
      <c r="E877" s="1178">
        <f t="shared" si="13"/>
        <v>3</v>
      </c>
    </row>
    <row r="878" spans="1:5" ht="14.25">
      <c r="A878" s="1298" t="s">
        <v>2371</v>
      </c>
      <c r="B878" s="1298">
        <v>9.1597000000000008</v>
      </c>
      <c r="C878" s="1298">
        <v>9.1576000000000004</v>
      </c>
      <c r="D878" s="1349">
        <v>1</v>
      </c>
      <c r="E878" s="1178">
        <f t="shared" si="13"/>
        <v>3</v>
      </c>
    </row>
    <row r="879" spans="1:5" ht="14.25">
      <c r="A879" s="1298" t="s">
        <v>2255</v>
      </c>
      <c r="B879" s="1298">
        <v>1312.5890999999999</v>
      </c>
      <c r="C879" s="1298">
        <v>1360.0282999999999</v>
      </c>
      <c r="D879" s="1349">
        <v>0.96511896112750006</v>
      </c>
      <c r="E879" s="1178">
        <f t="shared" si="13"/>
        <v>3</v>
      </c>
    </row>
    <row r="880" spans="1:5" ht="14.25">
      <c r="A880" s="1298" t="s">
        <v>2258</v>
      </c>
      <c r="B880" s="1298">
        <v>327.05799999999999</v>
      </c>
      <c r="C880" s="1298">
        <v>340.71820000000002</v>
      </c>
      <c r="D880" s="1349">
        <v>0.95990763041129001</v>
      </c>
      <c r="E880" s="1178">
        <f t="shared" si="13"/>
        <v>3</v>
      </c>
    </row>
    <row r="881" spans="1:5" ht="14.25">
      <c r="A881" s="1298" t="s">
        <v>2257</v>
      </c>
      <c r="B881" s="1298">
        <v>136.79859999999999</v>
      </c>
      <c r="C881" s="1298">
        <v>140.36500000000001</v>
      </c>
      <c r="D881" s="1349">
        <v>0.97459195668435861</v>
      </c>
      <c r="E881" s="1178">
        <f t="shared" si="13"/>
        <v>3</v>
      </c>
    </row>
    <row r="882" spans="1:5" ht="14.25">
      <c r="A882" s="1298" t="s">
        <v>2370</v>
      </c>
      <c r="B882" s="1298">
        <v>3.1745000000000001</v>
      </c>
      <c r="C882" s="1298">
        <v>3.1768000000000001</v>
      </c>
      <c r="D882" s="1349">
        <v>0.99927600100730296</v>
      </c>
      <c r="E882" s="1178">
        <f t="shared" si="13"/>
        <v>3</v>
      </c>
    </row>
    <row r="883" spans="1:5" ht="14.25">
      <c r="A883" s="1298" t="s">
        <v>2371</v>
      </c>
      <c r="B883" s="1298">
        <v>1779.6202000000001</v>
      </c>
      <c r="C883" s="1298">
        <v>1844.2882999999999</v>
      </c>
      <c r="D883" s="1349">
        <v>0.96493601352890435</v>
      </c>
      <c r="E883" s="1178">
        <f t="shared" si="13"/>
        <v>3</v>
      </c>
    </row>
    <row r="884" spans="1:5" ht="14.25">
      <c r="A884" s="1298" t="s">
        <v>2255</v>
      </c>
      <c r="B884" s="1298">
        <v>325.14659999999998</v>
      </c>
      <c r="C884" s="1298">
        <v>339.07850000000002</v>
      </c>
      <c r="D884" s="1349">
        <v>0.95891246422288645</v>
      </c>
      <c r="E884" s="1178">
        <f t="shared" si="13"/>
        <v>3</v>
      </c>
    </row>
    <row r="885" spans="1:5" ht="14.25">
      <c r="A885" s="1298" t="s">
        <v>2258</v>
      </c>
      <c r="B885" s="1298">
        <v>618.93280000000004</v>
      </c>
      <c r="C885" s="1298">
        <v>659.60119999999995</v>
      </c>
      <c r="D885" s="1349">
        <v>0.93834395692427486</v>
      </c>
      <c r="E885" s="1178">
        <f t="shared" si="13"/>
        <v>3</v>
      </c>
    </row>
    <row r="886" spans="1:5" ht="14.25">
      <c r="A886" s="1298" t="s">
        <v>2257</v>
      </c>
      <c r="B886" s="1298">
        <v>68.255799999999994</v>
      </c>
      <c r="C886" s="1298">
        <v>68.622399999999999</v>
      </c>
      <c r="D886" s="1349">
        <v>0.99465772109398676</v>
      </c>
      <c r="E886" s="1178">
        <f t="shared" si="13"/>
        <v>3</v>
      </c>
    </row>
    <row r="887" spans="1:5" ht="14.25">
      <c r="A887" s="1298" t="s">
        <v>2370</v>
      </c>
      <c r="B887" s="1298">
        <v>1.5673999999999999</v>
      </c>
      <c r="C887" s="1298">
        <v>1.5673999999999999</v>
      </c>
      <c r="D887" s="1349">
        <v>1</v>
      </c>
      <c r="E887" s="1178">
        <f t="shared" si="13"/>
        <v>3</v>
      </c>
    </row>
    <row r="888" spans="1:5" ht="14.25">
      <c r="A888" s="1298" t="s">
        <v>2371</v>
      </c>
      <c r="B888" s="1298">
        <v>1013.9026</v>
      </c>
      <c r="C888" s="1298">
        <v>1068.8695</v>
      </c>
      <c r="D888" s="1349">
        <v>0.94857473246266266</v>
      </c>
      <c r="E888" s="1178">
        <f t="shared" si="13"/>
        <v>3</v>
      </c>
    </row>
    <row r="889" spans="1:5" ht="14.25">
      <c r="A889" s="1298" t="s">
        <v>2255</v>
      </c>
      <c r="B889" s="1298">
        <v>23.091100000000001</v>
      </c>
      <c r="C889" s="1298">
        <v>24.815300000000001</v>
      </c>
      <c r="D889" s="1349">
        <v>0.93051867194835447</v>
      </c>
      <c r="E889" s="1178">
        <f t="shared" si="13"/>
        <v>3</v>
      </c>
    </row>
    <row r="890" spans="1:5" ht="14.25">
      <c r="A890" s="1298" t="s">
        <v>2257</v>
      </c>
      <c r="B890" s="1298">
        <v>9.2319999999999993</v>
      </c>
      <c r="C890" s="1298">
        <v>9.4207999999999998</v>
      </c>
      <c r="D890" s="1349">
        <v>0.97995923913043481</v>
      </c>
      <c r="E890" s="1178">
        <f t="shared" si="13"/>
        <v>3</v>
      </c>
    </row>
    <row r="891" spans="1:5" ht="14.25">
      <c r="A891" s="1298" t="s">
        <v>2371</v>
      </c>
      <c r="B891" s="1298">
        <v>32.323099999999997</v>
      </c>
      <c r="C891" s="1298">
        <v>34.2361</v>
      </c>
      <c r="D891" s="1349">
        <v>0.94412330843758485</v>
      </c>
      <c r="E891" s="1178">
        <f t="shared" si="13"/>
        <v>3</v>
      </c>
    </row>
    <row r="892" spans="1:5" ht="14.25">
      <c r="A892" s="1298" t="s">
        <v>2255</v>
      </c>
      <c r="B892" s="1298">
        <v>151.03960000000001</v>
      </c>
      <c r="C892" s="1298">
        <v>155.67420000000001</v>
      </c>
      <c r="D892" s="1349">
        <v>0.97022884973874923</v>
      </c>
      <c r="E892" s="1178">
        <f t="shared" si="13"/>
        <v>3</v>
      </c>
    </row>
    <row r="893" spans="1:5" ht="14.25">
      <c r="A893" s="1298" t="s">
        <v>2371</v>
      </c>
      <c r="B893" s="1298">
        <v>151.03960000000001</v>
      </c>
      <c r="C893" s="1298">
        <v>155.67420000000001</v>
      </c>
      <c r="D893" s="1349">
        <v>0.97022884973874923</v>
      </c>
      <c r="E893" s="1178">
        <f t="shared" si="13"/>
        <v>3</v>
      </c>
    </row>
    <row r="894" spans="1:5" ht="14.25">
      <c r="A894" s="1298" t="s">
        <v>2255</v>
      </c>
      <c r="B894" s="1298">
        <v>83.813999999999993</v>
      </c>
      <c r="C894" s="1298">
        <v>86.4178</v>
      </c>
      <c r="D894" s="1349">
        <v>0.96986963333942777</v>
      </c>
      <c r="E894" s="1178">
        <f t="shared" si="13"/>
        <v>3</v>
      </c>
    </row>
    <row r="895" spans="1:5" ht="14.25">
      <c r="A895" s="1298" t="s">
        <v>2257</v>
      </c>
      <c r="B895" s="1298">
        <v>116.3776</v>
      </c>
      <c r="C895" s="1298">
        <v>118.1664</v>
      </c>
      <c r="D895" s="1349">
        <v>0.98486202507650233</v>
      </c>
      <c r="E895" s="1178">
        <f t="shared" si="13"/>
        <v>3</v>
      </c>
    </row>
    <row r="896" spans="1:5" ht="14.25">
      <c r="A896" s="1298" t="s">
        <v>2371</v>
      </c>
      <c r="B896" s="1298">
        <v>200.19159999999999</v>
      </c>
      <c r="C896" s="1298">
        <v>204.58420000000001</v>
      </c>
      <c r="D896" s="1349">
        <v>0.97852913372586936</v>
      </c>
      <c r="E896" s="1178">
        <f t="shared" si="13"/>
        <v>3</v>
      </c>
    </row>
    <row r="897" spans="1:5" ht="14.25">
      <c r="A897" s="1298" t="s">
        <v>2255</v>
      </c>
      <c r="B897" s="1298">
        <v>65.887500000000003</v>
      </c>
      <c r="C897" s="1298">
        <v>76.504199999999997</v>
      </c>
      <c r="D897" s="1349">
        <v>0.86122722674049268</v>
      </c>
      <c r="E897" s="1178">
        <f t="shared" si="13"/>
        <v>1.5</v>
      </c>
    </row>
    <row r="898" spans="1:5" ht="14.25">
      <c r="A898" s="1298" t="s">
        <v>2257</v>
      </c>
      <c r="B898" s="1298">
        <v>10.655200000000001</v>
      </c>
      <c r="C898" s="1298">
        <v>10.655200000000001</v>
      </c>
      <c r="D898" s="1349">
        <v>1</v>
      </c>
      <c r="E898" s="1178">
        <f t="shared" si="13"/>
        <v>3</v>
      </c>
    </row>
    <row r="899" spans="1:5" ht="14.25">
      <c r="A899" s="1298" t="s">
        <v>2370</v>
      </c>
      <c r="B899" s="1298">
        <v>0.47970000000000002</v>
      </c>
      <c r="C899" s="1298">
        <v>0.47970000000000002</v>
      </c>
      <c r="D899" s="1349">
        <v>1</v>
      </c>
      <c r="E899" s="1178">
        <f t="shared" ref="E899:E962" si="14">IF(D899&gt;0.9,3,IF(D899&gt;0.8,1.5,0))</f>
        <v>3</v>
      </c>
    </row>
    <row r="900" spans="1:5" ht="14.25">
      <c r="A900" s="1298" t="s">
        <v>2371</v>
      </c>
      <c r="B900" s="1298">
        <v>77.022400000000005</v>
      </c>
      <c r="C900" s="1298">
        <v>87.639099999999999</v>
      </c>
      <c r="D900" s="1349">
        <v>0.87885886550637782</v>
      </c>
      <c r="E900" s="1178">
        <f t="shared" si="14"/>
        <v>1.5</v>
      </c>
    </row>
    <row r="901" spans="1:5" ht="14.25">
      <c r="A901" s="1298" t="s">
        <v>2255</v>
      </c>
      <c r="B901" s="1298">
        <v>62.902900000000002</v>
      </c>
      <c r="C901" s="1298">
        <v>65.359700000000004</v>
      </c>
      <c r="D901" s="1349">
        <v>0.96241108817818932</v>
      </c>
      <c r="E901" s="1178">
        <f t="shared" si="14"/>
        <v>3</v>
      </c>
    </row>
    <row r="902" spans="1:5" ht="14.25">
      <c r="A902" s="1298" t="s">
        <v>2370</v>
      </c>
      <c r="B902" s="1298">
        <v>0.25130000000000002</v>
      </c>
      <c r="C902" s="1298">
        <v>0.25130000000000002</v>
      </c>
      <c r="D902" s="1349">
        <v>1</v>
      </c>
      <c r="E902" s="1178">
        <f t="shared" si="14"/>
        <v>3</v>
      </c>
    </row>
    <row r="903" spans="1:5" ht="14.25">
      <c r="A903" s="1298" t="s">
        <v>2371</v>
      </c>
      <c r="B903" s="1298">
        <v>63.154200000000003</v>
      </c>
      <c r="C903" s="1298">
        <v>65.611000000000004</v>
      </c>
      <c r="D903" s="1349">
        <v>0.96255505936504548</v>
      </c>
      <c r="E903" s="1178">
        <f t="shared" si="14"/>
        <v>3</v>
      </c>
    </row>
    <row r="904" spans="1:5" ht="14.25">
      <c r="A904" s="1298" t="s">
        <v>2255</v>
      </c>
      <c r="B904" s="1298">
        <v>124.9971</v>
      </c>
      <c r="C904" s="1298">
        <v>126.4961</v>
      </c>
      <c r="D904" s="1349">
        <v>0.98814983228731956</v>
      </c>
      <c r="E904" s="1178">
        <f t="shared" si="14"/>
        <v>3</v>
      </c>
    </row>
    <row r="905" spans="1:5" ht="14.25">
      <c r="A905" s="1298" t="s">
        <v>2371</v>
      </c>
      <c r="B905" s="1298">
        <v>124.9971</v>
      </c>
      <c r="C905" s="1298">
        <v>126.4961</v>
      </c>
      <c r="D905" s="1349">
        <v>0.98814983228731956</v>
      </c>
      <c r="E905" s="1178">
        <f t="shared" si="14"/>
        <v>3</v>
      </c>
    </row>
    <row r="906" spans="1:5" ht="14.25">
      <c r="A906" s="1298" t="s">
        <v>2255</v>
      </c>
      <c r="B906" s="1298">
        <v>19.667899999999999</v>
      </c>
      <c r="C906" s="1298">
        <v>20.048300000000001</v>
      </c>
      <c r="D906" s="1349">
        <v>0.98102582263832838</v>
      </c>
      <c r="E906" s="1178">
        <f t="shared" si="14"/>
        <v>3</v>
      </c>
    </row>
    <row r="907" spans="1:5" ht="14.25">
      <c r="A907" s="1298" t="s">
        <v>2371</v>
      </c>
      <c r="B907" s="1298">
        <v>19.667899999999999</v>
      </c>
      <c r="C907" s="1298">
        <v>20.048300000000001</v>
      </c>
      <c r="D907" s="1349">
        <v>0.98102582263832838</v>
      </c>
      <c r="E907" s="1178">
        <f t="shared" si="14"/>
        <v>3</v>
      </c>
    </row>
    <row r="908" spans="1:5" ht="14.25">
      <c r="A908" s="1298" t="s">
        <v>2255</v>
      </c>
      <c r="B908" s="1298">
        <v>856.54669999999999</v>
      </c>
      <c r="C908" s="1298">
        <v>894.39409999999998</v>
      </c>
      <c r="D908" s="1349">
        <v>0.95768375484587831</v>
      </c>
      <c r="E908" s="1178">
        <f t="shared" si="14"/>
        <v>3</v>
      </c>
    </row>
    <row r="909" spans="1:5" ht="14.25">
      <c r="A909" s="1298" t="s">
        <v>2258</v>
      </c>
      <c r="B909" s="1298">
        <v>618.93280000000004</v>
      </c>
      <c r="C909" s="1298">
        <v>659.60119999999995</v>
      </c>
      <c r="D909" s="1349">
        <v>0.93834395692427486</v>
      </c>
      <c r="E909" s="1178">
        <f t="shared" si="14"/>
        <v>3</v>
      </c>
    </row>
    <row r="910" spans="1:5" ht="14.25">
      <c r="A910" s="1298" t="s">
        <v>2257</v>
      </c>
      <c r="B910" s="1298">
        <v>204.5206</v>
      </c>
      <c r="C910" s="1298">
        <v>206.8648</v>
      </c>
      <c r="D910" s="1349">
        <v>0.9886679609097343</v>
      </c>
      <c r="E910" s="1178">
        <f t="shared" si="14"/>
        <v>3</v>
      </c>
    </row>
    <row r="911" spans="1:5" ht="14.25">
      <c r="A911" s="1298" t="s">
        <v>2370</v>
      </c>
      <c r="B911" s="1298">
        <v>2.2984</v>
      </c>
      <c r="C911" s="1298">
        <v>2.2984</v>
      </c>
      <c r="D911" s="1349">
        <v>1</v>
      </c>
      <c r="E911" s="1178">
        <f t="shared" si="14"/>
        <v>3</v>
      </c>
    </row>
    <row r="912" spans="1:5" ht="14.25">
      <c r="A912" s="1298" t="s">
        <v>2371</v>
      </c>
      <c r="B912" s="1298">
        <v>1682.2985000000001</v>
      </c>
      <c r="C912" s="1298">
        <v>1763.1585</v>
      </c>
      <c r="D912" s="1349">
        <v>0.95413912022089908</v>
      </c>
      <c r="E912" s="1178">
        <f t="shared" si="14"/>
        <v>3</v>
      </c>
    </row>
    <row r="913" spans="1:5" ht="14.25">
      <c r="A913" s="1298" t="s">
        <v>2255</v>
      </c>
      <c r="B913" s="1298">
        <v>110.1729</v>
      </c>
      <c r="C913" s="1298">
        <v>112.50190000000001</v>
      </c>
      <c r="D913" s="1349">
        <v>0.97929812740940381</v>
      </c>
      <c r="E913" s="1178">
        <f t="shared" si="14"/>
        <v>3</v>
      </c>
    </row>
    <row r="914" spans="1:5" ht="14.25">
      <c r="A914" s="1298" t="s">
        <v>2258</v>
      </c>
      <c r="B914" s="1298">
        <v>118.7955</v>
      </c>
      <c r="C914" s="1298">
        <v>122.6896</v>
      </c>
      <c r="D914" s="1349">
        <v>0.96826055346174411</v>
      </c>
      <c r="E914" s="1178">
        <f t="shared" si="14"/>
        <v>3</v>
      </c>
    </row>
    <row r="915" spans="1:5" ht="14.25">
      <c r="A915" s="1298" t="s">
        <v>2257</v>
      </c>
      <c r="B915" s="1298">
        <v>53.480800000000002</v>
      </c>
      <c r="C915" s="1298">
        <v>57.502200000000002</v>
      </c>
      <c r="D915" s="1349">
        <v>0.93006528445868153</v>
      </c>
      <c r="E915" s="1178">
        <f t="shared" si="14"/>
        <v>3</v>
      </c>
    </row>
    <row r="916" spans="1:5" ht="14.25">
      <c r="A916" s="1298" t="s">
        <v>2370</v>
      </c>
      <c r="B916" s="1298">
        <v>0.1888</v>
      </c>
      <c r="C916" s="1298">
        <v>0.1888</v>
      </c>
      <c r="D916" s="1349">
        <v>1</v>
      </c>
      <c r="E916" s="1178">
        <f t="shared" si="14"/>
        <v>3</v>
      </c>
    </row>
    <row r="917" spans="1:5" ht="14.25">
      <c r="A917" s="1298" t="s">
        <v>2371</v>
      </c>
      <c r="B917" s="1298">
        <v>282.63799999999998</v>
      </c>
      <c r="C917" s="1298">
        <v>292.88249999999999</v>
      </c>
      <c r="D917" s="1349">
        <v>0.96502180908726198</v>
      </c>
      <c r="E917" s="1178">
        <f t="shared" si="14"/>
        <v>3</v>
      </c>
    </row>
    <row r="918" spans="1:5" ht="14.25">
      <c r="A918" s="1298" t="s">
        <v>2255</v>
      </c>
      <c r="B918" s="1298">
        <v>79.158000000000001</v>
      </c>
      <c r="C918" s="1298">
        <v>80.633499999999998</v>
      </c>
      <c r="D918" s="1349">
        <v>0.98170115398686653</v>
      </c>
      <c r="E918" s="1178">
        <f t="shared" si="14"/>
        <v>3</v>
      </c>
    </row>
    <row r="919" spans="1:5" ht="14.25">
      <c r="A919" s="1298" t="s">
        <v>2257</v>
      </c>
      <c r="B919" s="1298">
        <v>1.5</v>
      </c>
      <c r="C919" s="1298">
        <v>1.5</v>
      </c>
      <c r="D919" s="1349">
        <v>1</v>
      </c>
      <c r="E919" s="1178">
        <f t="shared" si="14"/>
        <v>3</v>
      </c>
    </row>
    <row r="920" spans="1:5" ht="14.25">
      <c r="A920" s="1298" t="s">
        <v>2370</v>
      </c>
      <c r="B920" s="1298">
        <v>0.43469999999999998</v>
      </c>
      <c r="C920" s="1298">
        <v>0.42470000000000002</v>
      </c>
      <c r="D920" s="1349">
        <v>1</v>
      </c>
      <c r="E920" s="1178">
        <f t="shared" si="14"/>
        <v>3</v>
      </c>
    </row>
    <row r="921" spans="1:5" ht="14.25">
      <c r="A921" s="1298" t="s">
        <v>2371</v>
      </c>
      <c r="B921" s="1298">
        <v>81.092699999999994</v>
      </c>
      <c r="C921" s="1298">
        <v>82.558199999999999</v>
      </c>
      <c r="D921" s="1349">
        <v>0.98224888624025231</v>
      </c>
      <c r="E921" s="1178">
        <f t="shared" si="14"/>
        <v>3</v>
      </c>
    </row>
    <row r="922" spans="1:5" ht="14.25">
      <c r="A922" s="1298" t="s">
        <v>2255</v>
      </c>
      <c r="B922" s="1298">
        <v>25.6693</v>
      </c>
      <c r="C922" s="1298">
        <v>26.355499999999999</v>
      </c>
      <c r="D922" s="1349">
        <v>0.97396368879361039</v>
      </c>
      <c r="E922" s="1178">
        <f t="shared" si="14"/>
        <v>3</v>
      </c>
    </row>
    <row r="923" spans="1:5" ht="14.25">
      <c r="A923" s="1298" t="s">
        <v>2371</v>
      </c>
      <c r="B923" s="1298">
        <v>25.6693</v>
      </c>
      <c r="C923" s="1298">
        <v>26.355499999999999</v>
      </c>
      <c r="D923" s="1349">
        <v>0.97396368879361039</v>
      </c>
      <c r="E923" s="1178">
        <f t="shared" si="14"/>
        <v>3</v>
      </c>
    </row>
    <row r="924" spans="1:5" ht="14.25">
      <c r="A924" s="1298" t="s">
        <v>2255</v>
      </c>
      <c r="B924" s="1298">
        <v>215.00020000000001</v>
      </c>
      <c r="C924" s="1298">
        <v>219.49090000000001</v>
      </c>
      <c r="D924" s="1349">
        <v>0.9795403818563776</v>
      </c>
      <c r="E924" s="1178">
        <f t="shared" si="14"/>
        <v>3</v>
      </c>
    </row>
    <row r="925" spans="1:5" ht="14.25">
      <c r="A925" s="1298" t="s">
        <v>2258</v>
      </c>
      <c r="B925" s="1298">
        <v>118.7955</v>
      </c>
      <c r="C925" s="1298">
        <v>122.6896</v>
      </c>
      <c r="D925" s="1349">
        <v>0.96826055346174411</v>
      </c>
      <c r="E925" s="1178">
        <f t="shared" si="14"/>
        <v>3</v>
      </c>
    </row>
    <row r="926" spans="1:5" ht="14.25">
      <c r="A926" s="1298" t="s">
        <v>2257</v>
      </c>
      <c r="B926" s="1298">
        <v>54.980800000000002</v>
      </c>
      <c r="C926" s="1298">
        <v>59.002200000000002</v>
      </c>
      <c r="D926" s="1349">
        <v>0.93184321940537806</v>
      </c>
      <c r="E926" s="1178">
        <f t="shared" si="14"/>
        <v>3</v>
      </c>
    </row>
    <row r="927" spans="1:5" ht="14.25">
      <c r="A927" s="1298" t="s">
        <v>2370</v>
      </c>
      <c r="B927" s="1298">
        <v>0.62350000000000005</v>
      </c>
      <c r="C927" s="1298">
        <v>0.61350000000000005</v>
      </c>
      <c r="D927" s="1349">
        <v>1</v>
      </c>
      <c r="E927" s="1178">
        <f t="shared" si="14"/>
        <v>3</v>
      </c>
    </row>
    <row r="928" spans="1:5" ht="14.25">
      <c r="A928" s="1298" t="s">
        <v>2371</v>
      </c>
      <c r="B928" s="1298">
        <v>389.4</v>
      </c>
      <c r="C928" s="1298">
        <v>401.7962</v>
      </c>
      <c r="D928" s="1349">
        <v>0.96914804072313276</v>
      </c>
      <c r="E928" s="1178">
        <f t="shared" si="14"/>
        <v>3</v>
      </c>
    </row>
    <row r="929" spans="1:5" ht="14.25">
      <c r="A929" s="1298" t="s">
        <v>2255</v>
      </c>
      <c r="B929" s="1298">
        <v>396.03410000000002</v>
      </c>
      <c r="C929" s="1298">
        <v>418.82760000000002</v>
      </c>
      <c r="D929" s="1349">
        <v>0.94557784635014508</v>
      </c>
      <c r="E929" s="1178">
        <f t="shared" si="14"/>
        <v>3</v>
      </c>
    </row>
    <row r="930" spans="1:5" ht="14.25">
      <c r="A930" s="1298" t="s">
        <v>2258</v>
      </c>
      <c r="B930" s="1298">
        <v>31.674499999999998</v>
      </c>
      <c r="C930" s="1298">
        <v>31.950700000000001</v>
      </c>
      <c r="D930" s="1349">
        <v>0.99135543196236697</v>
      </c>
      <c r="E930" s="1178">
        <f t="shared" si="14"/>
        <v>3</v>
      </c>
    </row>
    <row r="931" spans="1:5" ht="14.25">
      <c r="A931" s="1298" t="s">
        <v>2257</v>
      </c>
      <c r="B931" s="1298">
        <v>158.6378</v>
      </c>
      <c r="C931" s="1298">
        <v>168.11519999999999</v>
      </c>
      <c r="D931" s="1349">
        <v>0.94362556151971977</v>
      </c>
      <c r="E931" s="1178">
        <f t="shared" si="14"/>
        <v>3</v>
      </c>
    </row>
    <row r="932" spans="1:5" ht="14.25">
      <c r="A932" s="1298" t="s">
        <v>2370</v>
      </c>
      <c r="B932" s="1298">
        <v>0.28949999999999998</v>
      </c>
      <c r="C932" s="1298">
        <v>0.28949999999999998</v>
      </c>
      <c r="D932" s="1349">
        <v>1</v>
      </c>
      <c r="E932" s="1178">
        <f t="shared" si="14"/>
        <v>3</v>
      </c>
    </row>
    <row r="933" spans="1:5" ht="14.25">
      <c r="A933" s="1298" t="s">
        <v>2371</v>
      </c>
      <c r="B933" s="1298">
        <v>586.63589999999999</v>
      </c>
      <c r="C933" s="1298">
        <v>619.18299999999999</v>
      </c>
      <c r="D933" s="1349">
        <v>0.9474354108559182</v>
      </c>
      <c r="E933" s="1178">
        <f t="shared" si="14"/>
        <v>3</v>
      </c>
    </row>
    <row r="934" spans="1:5" ht="14.25">
      <c r="A934" s="1298" t="s">
        <v>2255</v>
      </c>
      <c r="B934" s="1298">
        <v>47.968400000000003</v>
      </c>
      <c r="C934" s="1298">
        <v>48.886200000000002</v>
      </c>
      <c r="D934" s="1349">
        <v>0.98122578560002616</v>
      </c>
      <c r="E934" s="1178">
        <f t="shared" si="14"/>
        <v>3</v>
      </c>
    </row>
    <row r="935" spans="1:5" ht="14.25">
      <c r="A935" s="1298" t="s">
        <v>2257</v>
      </c>
      <c r="B935" s="1298">
        <v>63.5274</v>
      </c>
      <c r="C935" s="1298">
        <v>64.082800000000006</v>
      </c>
      <c r="D935" s="1349">
        <v>0.99133308781763596</v>
      </c>
      <c r="E935" s="1178">
        <f t="shared" si="14"/>
        <v>3</v>
      </c>
    </row>
    <row r="936" spans="1:5" ht="14.25">
      <c r="A936" s="1298" t="s">
        <v>2371</v>
      </c>
      <c r="B936" s="1298">
        <v>111.4958</v>
      </c>
      <c r="C936" s="1298">
        <v>112.96899999999999</v>
      </c>
      <c r="D936" s="1349">
        <v>0.98695925430870413</v>
      </c>
      <c r="E936" s="1178">
        <f t="shared" si="14"/>
        <v>3</v>
      </c>
    </row>
    <row r="937" spans="1:5" ht="14.25">
      <c r="A937" s="1298" t="s">
        <v>2255</v>
      </c>
      <c r="B937" s="1298">
        <v>30.536799999999999</v>
      </c>
      <c r="C937" s="1298">
        <v>30.919899999999998</v>
      </c>
      <c r="D937" s="1349">
        <v>0.98760992111876167</v>
      </c>
      <c r="E937" s="1178">
        <f t="shared" si="14"/>
        <v>3</v>
      </c>
    </row>
    <row r="938" spans="1:5" ht="14.25">
      <c r="A938" s="1298" t="s">
        <v>2371</v>
      </c>
      <c r="B938" s="1298">
        <v>30.536799999999999</v>
      </c>
      <c r="C938" s="1298">
        <v>30.919899999999998</v>
      </c>
      <c r="D938" s="1349">
        <v>0.98760992111876167</v>
      </c>
      <c r="E938" s="1178">
        <f t="shared" si="14"/>
        <v>3</v>
      </c>
    </row>
    <row r="939" spans="1:5" ht="14.25">
      <c r="A939" s="1298" t="s">
        <v>2255</v>
      </c>
      <c r="B939" s="1298">
        <v>67.610900000000001</v>
      </c>
      <c r="C939" s="1298">
        <v>68.586299999999994</v>
      </c>
      <c r="D939" s="1349">
        <v>0.98577850095427222</v>
      </c>
      <c r="E939" s="1178">
        <f t="shared" si="14"/>
        <v>3</v>
      </c>
    </row>
    <row r="940" spans="1:5" ht="14.25">
      <c r="A940" s="1298" t="s">
        <v>2371</v>
      </c>
      <c r="B940" s="1298">
        <v>67.610900000000001</v>
      </c>
      <c r="C940" s="1298">
        <v>68.586299999999994</v>
      </c>
      <c r="D940" s="1349">
        <v>0.98577850095427222</v>
      </c>
      <c r="E940" s="1178">
        <f t="shared" si="14"/>
        <v>3</v>
      </c>
    </row>
    <row r="941" spans="1:5" ht="14.25">
      <c r="A941" s="1298" t="s">
        <v>2255</v>
      </c>
      <c r="B941" s="1298">
        <v>11.568899999999999</v>
      </c>
      <c r="C941" s="1298">
        <v>11.565099999999999</v>
      </c>
      <c r="D941" s="1349">
        <v>1</v>
      </c>
      <c r="E941" s="1178">
        <f t="shared" si="14"/>
        <v>3</v>
      </c>
    </row>
    <row r="942" spans="1:5" ht="14.25">
      <c r="A942" s="1298" t="s">
        <v>2371</v>
      </c>
      <c r="B942" s="1298">
        <v>11.568899999999999</v>
      </c>
      <c r="C942" s="1298">
        <v>11.565099999999999</v>
      </c>
      <c r="D942" s="1349">
        <v>1</v>
      </c>
      <c r="E942" s="1178">
        <f t="shared" si="14"/>
        <v>3</v>
      </c>
    </row>
    <row r="943" spans="1:5" ht="14.25">
      <c r="A943" s="1298" t="s">
        <v>2255</v>
      </c>
      <c r="B943" s="1298">
        <v>553.71910000000003</v>
      </c>
      <c r="C943" s="1298">
        <v>578.78510000000006</v>
      </c>
      <c r="D943" s="1349">
        <v>0.95669204338536018</v>
      </c>
      <c r="E943" s="1178">
        <f t="shared" si="14"/>
        <v>3</v>
      </c>
    </row>
    <row r="944" spans="1:5" ht="14.25">
      <c r="A944" s="1298" t="s">
        <v>2258</v>
      </c>
      <c r="B944" s="1298">
        <v>31.674499999999998</v>
      </c>
      <c r="C944" s="1298">
        <v>31.950700000000001</v>
      </c>
      <c r="D944" s="1349">
        <v>0.99135543196236697</v>
      </c>
      <c r="E944" s="1178">
        <f t="shared" si="14"/>
        <v>3</v>
      </c>
    </row>
    <row r="945" spans="1:5" ht="14.25">
      <c r="A945" s="1298" t="s">
        <v>2257</v>
      </c>
      <c r="B945" s="1298">
        <v>222.1652</v>
      </c>
      <c r="C945" s="1298">
        <v>232.19800000000001</v>
      </c>
      <c r="D945" s="1349">
        <v>0.95679204816578955</v>
      </c>
      <c r="E945" s="1178">
        <f t="shared" si="14"/>
        <v>3</v>
      </c>
    </row>
    <row r="946" spans="1:5" ht="14.25">
      <c r="A946" s="1298" t="s">
        <v>2370</v>
      </c>
      <c r="B946" s="1298">
        <v>0.28949999999999998</v>
      </c>
      <c r="C946" s="1298">
        <v>0.28949999999999998</v>
      </c>
      <c r="D946" s="1349">
        <v>1</v>
      </c>
      <c r="E946" s="1178">
        <f t="shared" si="14"/>
        <v>3</v>
      </c>
    </row>
    <row r="947" spans="1:5" ht="14.25">
      <c r="A947" s="1298" t="s">
        <v>2371</v>
      </c>
      <c r="B947" s="1298">
        <v>807.84829999999999</v>
      </c>
      <c r="C947" s="1298">
        <v>843.22329999999999</v>
      </c>
      <c r="D947" s="1349">
        <v>0.95804788601073998</v>
      </c>
      <c r="E947" s="1178">
        <f t="shared" si="14"/>
        <v>3</v>
      </c>
    </row>
    <row r="948" spans="1:5" ht="14.25">
      <c r="A948" s="1298" t="s">
        <v>2255</v>
      </c>
      <c r="B948" s="1298">
        <v>169.36500000000001</v>
      </c>
      <c r="C948" s="1298">
        <v>177.17529999999999</v>
      </c>
      <c r="D948" s="1349">
        <v>0.95591767023958762</v>
      </c>
      <c r="E948" s="1178">
        <f t="shared" si="14"/>
        <v>3</v>
      </c>
    </row>
    <row r="949" spans="1:5" ht="14.25">
      <c r="A949" s="1298" t="s">
        <v>2257</v>
      </c>
      <c r="B949" s="1298">
        <v>142.1823</v>
      </c>
      <c r="C949" s="1298">
        <v>145.1823</v>
      </c>
      <c r="D949" s="1349">
        <v>0.97933632405603166</v>
      </c>
      <c r="E949" s="1178">
        <f t="shared" si="14"/>
        <v>3</v>
      </c>
    </row>
    <row r="950" spans="1:5" ht="14.25">
      <c r="A950" s="1298" t="s">
        <v>2370</v>
      </c>
      <c r="B950" s="1298">
        <v>3.8807999999999998</v>
      </c>
      <c r="C950" s="1298">
        <v>3.8807999999999998</v>
      </c>
      <c r="D950" s="1349">
        <v>1</v>
      </c>
      <c r="E950" s="1178">
        <f t="shared" si="14"/>
        <v>3</v>
      </c>
    </row>
    <row r="951" spans="1:5" ht="14.25">
      <c r="A951" s="1298" t="s">
        <v>2371</v>
      </c>
      <c r="B951" s="1298">
        <v>315.42809999999997</v>
      </c>
      <c r="C951" s="1298">
        <v>326.23840000000001</v>
      </c>
      <c r="D951" s="1349">
        <v>0.96686380266700667</v>
      </c>
      <c r="E951" s="1178">
        <f t="shared" si="14"/>
        <v>3</v>
      </c>
    </row>
    <row r="952" spans="1:5" ht="14.25">
      <c r="A952" s="1298" t="s">
        <v>2255</v>
      </c>
      <c r="B952" s="1298">
        <v>53.4621</v>
      </c>
      <c r="C952" s="1298">
        <v>53.4651</v>
      </c>
      <c r="D952" s="1349">
        <v>0.99994388863015315</v>
      </c>
      <c r="E952" s="1178">
        <f t="shared" si="14"/>
        <v>3</v>
      </c>
    </row>
    <row r="953" spans="1:5" ht="14.25">
      <c r="A953" s="1298" t="s">
        <v>2258</v>
      </c>
      <c r="B953" s="1298">
        <v>39.865000000000002</v>
      </c>
      <c r="C953" s="1298">
        <v>41.7117</v>
      </c>
      <c r="D953" s="1349">
        <v>0.95572705020413939</v>
      </c>
      <c r="E953" s="1178">
        <f t="shared" si="14"/>
        <v>3</v>
      </c>
    </row>
    <row r="954" spans="1:5" ht="14.25">
      <c r="A954" s="1298" t="s">
        <v>2257</v>
      </c>
      <c r="B954" s="1298">
        <v>6</v>
      </c>
      <c r="C954" s="1298">
        <v>6</v>
      </c>
      <c r="D954" s="1349">
        <v>1</v>
      </c>
      <c r="E954" s="1178">
        <f t="shared" si="14"/>
        <v>3</v>
      </c>
    </row>
    <row r="955" spans="1:5" ht="14.25">
      <c r="A955" s="1298" t="s">
        <v>2370</v>
      </c>
      <c r="B955" s="1298">
        <v>0.45269999999999999</v>
      </c>
      <c r="C955" s="1298">
        <v>0.45269999999999999</v>
      </c>
      <c r="D955" s="1349">
        <v>1</v>
      </c>
      <c r="E955" s="1178">
        <f t="shared" si="14"/>
        <v>3</v>
      </c>
    </row>
    <row r="956" spans="1:5" ht="14.25">
      <c r="A956" s="1298" t="s">
        <v>2371</v>
      </c>
      <c r="B956" s="1298">
        <v>99.779799999999994</v>
      </c>
      <c r="C956" s="1298">
        <v>101.62949999999999</v>
      </c>
      <c r="D956" s="1349">
        <v>0.98179957591053779</v>
      </c>
      <c r="E956" s="1178">
        <f t="shared" si="14"/>
        <v>3</v>
      </c>
    </row>
    <row r="957" spans="1:5" ht="14.25">
      <c r="A957" s="1298" t="s">
        <v>2255</v>
      </c>
      <c r="B957" s="1298">
        <v>31.348099999999999</v>
      </c>
      <c r="C957" s="1298">
        <v>32.778100000000002</v>
      </c>
      <c r="D957" s="1349">
        <v>0.95637331022847571</v>
      </c>
      <c r="E957" s="1178">
        <f t="shared" si="14"/>
        <v>3</v>
      </c>
    </row>
    <row r="958" spans="1:5" ht="14.25">
      <c r="A958" s="1298" t="s">
        <v>2257</v>
      </c>
      <c r="B958" s="1298">
        <v>89.383799999999994</v>
      </c>
      <c r="C958" s="1298">
        <v>89.9392</v>
      </c>
      <c r="D958" s="1349">
        <v>0.99382471714224718</v>
      </c>
      <c r="E958" s="1178">
        <f t="shared" si="14"/>
        <v>3</v>
      </c>
    </row>
    <row r="959" spans="1:5" ht="14.25">
      <c r="A959" s="1298" t="s">
        <v>2371</v>
      </c>
      <c r="B959" s="1298">
        <v>120.7319</v>
      </c>
      <c r="C959" s="1298">
        <v>122.71729999999999</v>
      </c>
      <c r="D959" s="1349">
        <v>0.9838213520017145</v>
      </c>
      <c r="E959" s="1178">
        <f t="shared" si="14"/>
        <v>3</v>
      </c>
    </row>
    <row r="960" spans="1:5" ht="14.25">
      <c r="A960" s="1298" t="s">
        <v>2255</v>
      </c>
      <c r="B960" s="1298">
        <v>84.810199999999995</v>
      </c>
      <c r="C960" s="1298">
        <v>86.243200000000002</v>
      </c>
      <c r="D960" s="1349">
        <v>0.98338419724685544</v>
      </c>
      <c r="E960" s="1178">
        <f t="shared" si="14"/>
        <v>3</v>
      </c>
    </row>
    <row r="961" spans="1:5" ht="14.25">
      <c r="A961" s="1298" t="s">
        <v>2258</v>
      </c>
      <c r="B961" s="1298">
        <v>39.865000000000002</v>
      </c>
      <c r="C961" s="1298">
        <v>41.7117</v>
      </c>
      <c r="D961" s="1349">
        <v>0.95572705020413939</v>
      </c>
      <c r="E961" s="1178">
        <f t="shared" si="14"/>
        <v>3</v>
      </c>
    </row>
    <row r="962" spans="1:5" ht="14.25">
      <c r="A962" s="1298" t="s">
        <v>2257</v>
      </c>
      <c r="B962" s="1298">
        <v>95.383799999999994</v>
      </c>
      <c r="C962" s="1298">
        <v>95.9392</v>
      </c>
      <c r="D962" s="1349">
        <v>0.99421091691404562</v>
      </c>
      <c r="E962" s="1178">
        <f t="shared" si="14"/>
        <v>3</v>
      </c>
    </row>
    <row r="963" spans="1:5" ht="14.25">
      <c r="A963" s="1298" t="s">
        <v>2370</v>
      </c>
      <c r="B963" s="1298">
        <v>0.45269999999999999</v>
      </c>
      <c r="C963" s="1298">
        <v>0.45269999999999999</v>
      </c>
      <c r="D963" s="1349">
        <v>1</v>
      </c>
      <c r="E963" s="1178">
        <f t="shared" ref="E963:E1026" si="15">IF(D963&gt;0.9,3,IF(D963&gt;0.8,1.5,0))</f>
        <v>3</v>
      </c>
    </row>
    <row r="964" spans="1:5" ht="14.25">
      <c r="A964" s="1298" t="s">
        <v>2371</v>
      </c>
      <c r="B964" s="1298">
        <v>220.51169999999999</v>
      </c>
      <c r="C964" s="1298">
        <v>224.3468</v>
      </c>
      <c r="D964" s="1349">
        <v>0.98290548383128262</v>
      </c>
      <c r="E964" s="1178">
        <f t="shared" si="15"/>
        <v>3</v>
      </c>
    </row>
    <row r="965" spans="1:5" ht="14.25">
      <c r="A965" s="1298" t="s">
        <v>2255</v>
      </c>
      <c r="B965" s="1298">
        <v>5998.4757</v>
      </c>
      <c r="C965" s="1298">
        <v>6247.6979000000001</v>
      </c>
      <c r="D965" s="1349">
        <v>0.9601097549867128</v>
      </c>
      <c r="E965" s="1178">
        <f t="shared" si="15"/>
        <v>3</v>
      </c>
    </row>
    <row r="966" spans="1:5" ht="14.25">
      <c r="A966" s="1298" t="s">
        <v>2258</v>
      </c>
      <c r="B966" s="1298">
        <v>1406.5768</v>
      </c>
      <c r="C966" s="1298">
        <v>1479.5341000000001</v>
      </c>
      <c r="D966" s="1349">
        <v>0.95068900405877765</v>
      </c>
      <c r="E966" s="1178">
        <f t="shared" si="15"/>
        <v>3</v>
      </c>
    </row>
    <row r="967" spans="1:5" ht="14.25">
      <c r="A967" s="1298" t="s">
        <v>2257</v>
      </c>
      <c r="B967" s="1298">
        <v>1559.4697000000001</v>
      </c>
      <c r="C967" s="1298">
        <v>1589.8172999999999</v>
      </c>
      <c r="D967" s="1349">
        <v>0.98091126571587817</v>
      </c>
      <c r="E967" s="1178">
        <f t="shared" si="15"/>
        <v>3</v>
      </c>
    </row>
    <row r="968" spans="1:5" ht="14.25">
      <c r="A968" s="1298" t="s">
        <v>2370</v>
      </c>
      <c r="B968" s="1298">
        <v>17.3811</v>
      </c>
      <c r="C968" s="1298">
        <v>17.3734</v>
      </c>
      <c r="D968" s="1349">
        <v>1</v>
      </c>
      <c r="E968" s="1178">
        <f t="shared" si="15"/>
        <v>3</v>
      </c>
    </row>
    <row r="969" spans="1:5" ht="14.25">
      <c r="A969" s="1298" t="s">
        <v>2371</v>
      </c>
      <c r="B969" s="1298">
        <v>8981.9032999999999</v>
      </c>
      <c r="C969" s="1298">
        <v>9334.4226999999992</v>
      </c>
      <c r="D969" s="1349">
        <v>0.96223447219719327</v>
      </c>
      <c r="E969" s="1178">
        <f t="shared" si="15"/>
        <v>3</v>
      </c>
    </row>
    <row r="970" spans="1:5" ht="14.25">
      <c r="A970" s="1298" t="s">
        <v>2255</v>
      </c>
      <c r="B970" s="1298">
        <v>80.1083</v>
      </c>
      <c r="C970" s="1298">
        <v>82.023700000000005</v>
      </c>
      <c r="D970" s="1349">
        <v>0.97664821265073387</v>
      </c>
      <c r="E970" s="1178">
        <f t="shared" si="15"/>
        <v>3</v>
      </c>
    </row>
    <row r="971" spans="1:5" ht="14.25">
      <c r="A971" s="1298" t="s">
        <v>2258</v>
      </c>
      <c r="B971" s="1298">
        <v>41.4</v>
      </c>
      <c r="C971" s="1298">
        <v>42.785699999999999</v>
      </c>
      <c r="D971" s="1349">
        <v>0.96761301088915219</v>
      </c>
      <c r="E971" s="1178">
        <f t="shared" si="15"/>
        <v>3</v>
      </c>
    </row>
    <row r="972" spans="1:5" ht="14.25">
      <c r="A972" s="1298" t="s">
        <v>2370</v>
      </c>
      <c r="B972" s="1298">
        <v>1.1702999999999999</v>
      </c>
      <c r="C972" s="1298">
        <v>1.1693</v>
      </c>
      <c r="D972" s="1349">
        <v>1</v>
      </c>
      <c r="E972" s="1178">
        <f t="shared" si="15"/>
        <v>3</v>
      </c>
    </row>
    <row r="973" spans="1:5" ht="14.25">
      <c r="A973" s="1298" t="s">
        <v>2371</v>
      </c>
      <c r="B973" s="1298">
        <v>122.6786</v>
      </c>
      <c r="C973" s="1298">
        <v>125.9787</v>
      </c>
      <c r="D973" s="1349">
        <v>0.97380430183832667</v>
      </c>
      <c r="E973" s="1178">
        <f t="shared" si="15"/>
        <v>3</v>
      </c>
    </row>
    <row r="974" spans="1:5" ht="14.25">
      <c r="A974" s="1298" t="s">
        <v>2255</v>
      </c>
      <c r="B974" s="1298">
        <v>423.4237</v>
      </c>
      <c r="C974" s="1298">
        <v>474.54469999999998</v>
      </c>
      <c r="D974" s="1349">
        <v>0.8922735835001423</v>
      </c>
      <c r="E974" s="1178">
        <f t="shared" si="15"/>
        <v>1.5</v>
      </c>
    </row>
    <row r="975" spans="1:5" ht="14.25">
      <c r="A975" s="1298" t="s">
        <v>2257</v>
      </c>
      <c r="B975" s="1298">
        <v>19.821200000000001</v>
      </c>
      <c r="C975" s="1298">
        <v>22.2562</v>
      </c>
      <c r="D975" s="1349">
        <v>0.89059228439715676</v>
      </c>
      <c r="E975" s="1178">
        <f t="shared" si="15"/>
        <v>1.5</v>
      </c>
    </row>
    <row r="976" spans="1:5" ht="14.25">
      <c r="A976" s="1298" t="s">
        <v>2370</v>
      </c>
      <c r="B976" s="1298">
        <v>1.3099000000000001</v>
      </c>
      <c r="C976" s="1298">
        <v>1.5544</v>
      </c>
      <c r="D976" s="1349">
        <v>0.84270458054554809</v>
      </c>
      <c r="E976" s="1178">
        <f t="shared" si="15"/>
        <v>1.5</v>
      </c>
    </row>
    <row r="977" spans="1:5" ht="14.25">
      <c r="A977" s="1298" t="s">
        <v>2371</v>
      </c>
      <c r="B977" s="1298">
        <v>444.5548</v>
      </c>
      <c r="C977" s="1298">
        <v>498.3553</v>
      </c>
      <c r="D977" s="1349">
        <v>0.89204388916903266</v>
      </c>
      <c r="E977" s="1178">
        <f t="shared" si="15"/>
        <v>1.5</v>
      </c>
    </row>
    <row r="978" spans="1:5" ht="14.25">
      <c r="A978" s="1298" t="s">
        <v>2255</v>
      </c>
      <c r="B978" s="1298">
        <v>98.120900000000006</v>
      </c>
      <c r="C978" s="1298">
        <v>112.58159999999999</v>
      </c>
      <c r="D978" s="1349">
        <v>0.87155361089201078</v>
      </c>
      <c r="E978" s="1178">
        <f t="shared" si="15"/>
        <v>1.5</v>
      </c>
    </row>
    <row r="979" spans="1:5" ht="14.25">
      <c r="A979" s="1298" t="s">
        <v>2370</v>
      </c>
      <c r="B979" s="1298">
        <v>1.4317</v>
      </c>
      <c r="C979" s="1298">
        <v>1.7221</v>
      </c>
      <c r="D979" s="1349">
        <v>0.83136867777713253</v>
      </c>
      <c r="E979" s="1178">
        <f t="shared" si="15"/>
        <v>1.5</v>
      </c>
    </row>
    <row r="980" spans="1:5" ht="14.25">
      <c r="A980" s="1298" t="s">
        <v>2371</v>
      </c>
      <c r="B980" s="1298">
        <v>99.552599999999998</v>
      </c>
      <c r="C980" s="1298">
        <v>114.30370000000001</v>
      </c>
      <c r="D980" s="1349">
        <v>0.87094818452945966</v>
      </c>
      <c r="E980" s="1178">
        <f t="shared" si="15"/>
        <v>1.5</v>
      </c>
    </row>
    <row r="981" spans="1:5" ht="14.25">
      <c r="A981" s="1298" t="s">
        <v>2255</v>
      </c>
      <c r="B981" s="1298">
        <v>20.327100000000002</v>
      </c>
      <c r="C981" s="1298">
        <v>24.605499999999999</v>
      </c>
      <c r="D981" s="1349">
        <v>0.82612017638332891</v>
      </c>
      <c r="E981" s="1178">
        <f t="shared" si="15"/>
        <v>1.5</v>
      </c>
    </row>
    <row r="982" spans="1:5" ht="14.25">
      <c r="A982" s="1298" t="s">
        <v>2258</v>
      </c>
      <c r="B982" s="1298">
        <v>182.4853</v>
      </c>
      <c r="C982" s="1298">
        <v>196.6591</v>
      </c>
      <c r="D982" s="1349">
        <v>0.92792705753255256</v>
      </c>
      <c r="E982" s="1178">
        <f t="shared" si="15"/>
        <v>3</v>
      </c>
    </row>
    <row r="983" spans="1:5" ht="14.25">
      <c r="A983" s="1298" t="s">
        <v>2257</v>
      </c>
      <c r="B983" s="1298">
        <v>140.58590000000001</v>
      </c>
      <c r="C983" s="1298">
        <v>152.58590000000001</v>
      </c>
      <c r="D983" s="1349">
        <v>0.92135577402630253</v>
      </c>
      <c r="E983" s="1178">
        <f t="shared" si="15"/>
        <v>3</v>
      </c>
    </row>
    <row r="984" spans="1:5" ht="14.25">
      <c r="A984" s="1298" t="s">
        <v>2370</v>
      </c>
      <c r="B984" s="1298">
        <v>2.3616999999999999</v>
      </c>
      <c r="C984" s="1298">
        <v>2.3616999999999999</v>
      </c>
      <c r="D984" s="1349">
        <v>1</v>
      </c>
      <c r="E984" s="1178">
        <f t="shared" si="15"/>
        <v>3</v>
      </c>
    </row>
    <row r="985" spans="1:5" ht="14.25">
      <c r="A985" s="1298" t="s">
        <v>2371</v>
      </c>
      <c r="B985" s="1298">
        <v>345.76</v>
      </c>
      <c r="C985" s="1298">
        <v>376.2122</v>
      </c>
      <c r="D985" s="1349">
        <v>0.91905578819612976</v>
      </c>
      <c r="E985" s="1178">
        <f t="shared" si="15"/>
        <v>3</v>
      </c>
    </row>
    <row r="986" spans="1:5" ht="14.25">
      <c r="A986" s="1298" t="s">
        <v>2255</v>
      </c>
      <c r="B986" s="1298">
        <v>50.511800000000001</v>
      </c>
      <c r="C986" s="1298">
        <v>56.2121</v>
      </c>
      <c r="D986" s="1349">
        <v>0.89859300755531279</v>
      </c>
      <c r="E986" s="1178">
        <f t="shared" si="15"/>
        <v>1.5</v>
      </c>
    </row>
    <row r="987" spans="1:5" ht="14.25">
      <c r="A987" s="1298" t="s">
        <v>2370</v>
      </c>
      <c r="B987" s="1298">
        <v>0.85060000000000002</v>
      </c>
      <c r="C987" s="1298">
        <v>0.85060000000000002</v>
      </c>
      <c r="D987" s="1349">
        <v>1</v>
      </c>
      <c r="E987" s="1178">
        <f t="shared" si="15"/>
        <v>3</v>
      </c>
    </row>
    <row r="988" spans="1:5" ht="14.25">
      <c r="A988" s="1298" t="s">
        <v>2371</v>
      </c>
      <c r="B988" s="1298">
        <v>51.362400000000001</v>
      </c>
      <c r="C988" s="1298">
        <v>57.0627</v>
      </c>
      <c r="D988" s="1349">
        <v>0.9001046217581713</v>
      </c>
      <c r="E988" s="1178">
        <f t="shared" si="15"/>
        <v>3</v>
      </c>
    </row>
    <row r="989" spans="1:5" ht="14.25">
      <c r="A989" s="1298" t="s">
        <v>2255</v>
      </c>
      <c r="B989" s="1298">
        <v>84.694500000000005</v>
      </c>
      <c r="C989" s="1298">
        <v>92.337299999999999</v>
      </c>
      <c r="D989" s="1349">
        <v>0.91722954862227946</v>
      </c>
      <c r="E989" s="1178">
        <f t="shared" si="15"/>
        <v>3</v>
      </c>
    </row>
    <row r="990" spans="1:5" ht="14.25">
      <c r="A990" s="1298" t="s">
        <v>2370</v>
      </c>
      <c r="B990" s="1298">
        <v>0.60240000000000005</v>
      </c>
      <c r="C990" s="1298">
        <v>0.60240000000000005</v>
      </c>
      <c r="D990" s="1349">
        <v>1</v>
      </c>
      <c r="E990" s="1178">
        <f t="shared" si="15"/>
        <v>3</v>
      </c>
    </row>
    <row r="991" spans="1:5" ht="14.25">
      <c r="A991" s="1298" t="s">
        <v>2371</v>
      </c>
      <c r="B991" s="1298">
        <v>85.296899999999994</v>
      </c>
      <c r="C991" s="1298">
        <v>92.939700000000002</v>
      </c>
      <c r="D991" s="1349">
        <v>0.91776603539714463</v>
      </c>
      <c r="E991" s="1178">
        <f t="shared" si="15"/>
        <v>3</v>
      </c>
    </row>
    <row r="992" spans="1:5" ht="14.25">
      <c r="A992" s="1298" t="s">
        <v>2255</v>
      </c>
      <c r="B992" s="1298">
        <v>70.483500000000006</v>
      </c>
      <c r="C992" s="1298">
        <v>74.514200000000002</v>
      </c>
      <c r="D992" s="1349">
        <v>0.94590695464757057</v>
      </c>
      <c r="E992" s="1178">
        <f t="shared" si="15"/>
        <v>3</v>
      </c>
    </row>
    <row r="993" spans="1:5" ht="14.25">
      <c r="A993" s="1298" t="s">
        <v>2370</v>
      </c>
      <c r="B993" s="1298">
        <v>1.0581</v>
      </c>
      <c r="C993" s="1298">
        <v>1.0581</v>
      </c>
      <c r="D993" s="1349">
        <v>1</v>
      </c>
      <c r="E993" s="1178">
        <f t="shared" si="15"/>
        <v>3</v>
      </c>
    </row>
    <row r="994" spans="1:5" ht="14.25">
      <c r="A994" s="1298" t="s">
        <v>2371</v>
      </c>
      <c r="B994" s="1298">
        <v>71.541600000000003</v>
      </c>
      <c r="C994" s="1298">
        <v>75.572299999999998</v>
      </c>
      <c r="D994" s="1349">
        <v>0.94666432012787749</v>
      </c>
      <c r="E994" s="1178">
        <f t="shared" si="15"/>
        <v>3</v>
      </c>
    </row>
    <row r="995" spans="1:5" ht="14.25">
      <c r="A995" s="1298" t="s">
        <v>2255</v>
      </c>
      <c r="B995" s="1298">
        <v>9.6579999999999995</v>
      </c>
      <c r="C995" s="1298">
        <v>10.5459</v>
      </c>
      <c r="D995" s="1349">
        <v>0.91580614267155958</v>
      </c>
      <c r="E995" s="1178">
        <f t="shared" si="15"/>
        <v>3</v>
      </c>
    </row>
    <row r="996" spans="1:5" ht="14.25">
      <c r="A996" s="1298" t="s">
        <v>2371</v>
      </c>
      <c r="B996" s="1298">
        <v>9.6579999999999995</v>
      </c>
      <c r="C996" s="1298">
        <v>10.5459</v>
      </c>
      <c r="D996" s="1349">
        <v>0.91580614267155958</v>
      </c>
      <c r="E996" s="1178">
        <f t="shared" si="15"/>
        <v>3</v>
      </c>
    </row>
    <row r="997" spans="1:5" ht="14.25">
      <c r="A997" s="1298" t="s">
        <v>2255</v>
      </c>
      <c r="B997" s="1298">
        <v>22.397600000000001</v>
      </c>
      <c r="C997" s="1298">
        <v>23.054099999999998</v>
      </c>
      <c r="D997" s="1349">
        <v>0.9715235034115407</v>
      </c>
      <c r="E997" s="1178">
        <f t="shared" si="15"/>
        <v>3</v>
      </c>
    </row>
    <row r="998" spans="1:5" ht="14.25">
      <c r="A998" s="1298" t="s">
        <v>2370</v>
      </c>
      <c r="B998" s="1298">
        <v>1.3293999999999999</v>
      </c>
      <c r="C998" s="1298">
        <v>1.3293999999999999</v>
      </c>
      <c r="D998" s="1349">
        <v>1</v>
      </c>
      <c r="E998" s="1178">
        <f t="shared" si="15"/>
        <v>3</v>
      </c>
    </row>
    <row r="999" spans="1:5" ht="14.25">
      <c r="A999" s="1298" t="s">
        <v>2371</v>
      </c>
      <c r="B999" s="1298">
        <v>23.727</v>
      </c>
      <c r="C999" s="1298">
        <v>24.383500000000002</v>
      </c>
      <c r="D999" s="1349">
        <v>0.97307605552935383</v>
      </c>
      <c r="E999" s="1178">
        <f t="shared" si="15"/>
        <v>3</v>
      </c>
    </row>
    <row r="1000" spans="1:5" ht="14.25">
      <c r="A1000" s="1298" t="s">
        <v>2255</v>
      </c>
      <c r="B1000" s="1298">
        <v>25.028500000000001</v>
      </c>
      <c r="C1000" s="1298">
        <v>31.937200000000001</v>
      </c>
      <c r="D1000" s="1349">
        <v>0.78367859424119835</v>
      </c>
      <c r="E1000" s="1178">
        <f t="shared" si="15"/>
        <v>0</v>
      </c>
    </row>
    <row r="1001" spans="1:5" ht="14.25">
      <c r="A1001" s="1298" t="s">
        <v>2371</v>
      </c>
      <c r="B1001" s="1298">
        <v>25.028500000000001</v>
      </c>
      <c r="C1001" s="1298">
        <v>31.937200000000001</v>
      </c>
      <c r="D1001" s="1349">
        <v>0.78367859424119835</v>
      </c>
      <c r="E1001" s="1178">
        <f t="shared" si="15"/>
        <v>0</v>
      </c>
    </row>
    <row r="1002" spans="1:5" ht="14.25">
      <c r="A1002" s="1298" t="s">
        <v>2255</v>
      </c>
      <c r="B1002" s="1298">
        <v>41</v>
      </c>
      <c r="C1002" s="1298">
        <v>49.213299999999997</v>
      </c>
      <c r="D1002" s="1349">
        <v>0.83310812321059546</v>
      </c>
      <c r="E1002" s="1178">
        <f t="shared" si="15"/>
        <v>1.5</v>
      </c>
    </row>
    <row r="1003" spans="1:5" ht="14.25">
      <c r="A1003" s="1298" t="s">
        <v>2371</v>
      </c>
      <c r="B1003" s="1298">
        <v>41</v>
      </c>
      <c r="C1003" s="1298">
        <v>49.213299999999997</v>
      </c>
      <c r="D1003" s="1349">
        <v>0.83310812321059546</v>
      </c>
      <c r="E1003" s="1178">
        <f t="shared" si="15"/>
        <v>1.5</v>
      </c>
    </row>
    <row r="1004" spans="1:5" ht="14.25">
      <c r="A1004" s="1298" t="s">
        <v>2255</v>
      </c>
      <c r="B1004" s="1298">
        <v>13.795400000000001</v>
      </c>
      <c r="C1004" s="1298">
        <v>18.780200000000001</v>
      </c>
      <c r="D1004" s="1349">
        <v>0.73457151681025756</v>
      </c>
      <c r="E1004" s="1178">
        <f t="shared" si="15"/>
        <v>0</v>
      </c>
    </row>
    <row r="1005" spans="1:5" ht="14.25">
      <c r="A1005" s="1298" t="s">
        <v>2370</v>
      </c>
      <c r="B1005" s="1298">
        <v>1.919</v>
      </c>
      <c r="C1005" s="1298">
        <v>1.919</v>
      </c>
      <c r="D1005" s="1349">
        <v>1</v>
      </c>
      <c r="E1005" s="1178">
        <f t="shared" si="15"/>
        <v>3</v>
      </c>
    </row>
    <row r="1006" spans="1:5" ht="14.25">
      <c r="A1006" s="1298" t="s">
        <v>2371</v>
      </c>
      <c r="B1006" s="1298">
        <v>15.714399999999999</v>
      </c>
      <c r="C1006" s="1298">
        <v>20.699200000000001</v>
      </c>
      <c r="D1006" s="1349">
        <v>0.75917909870912881</v>
      </c>
      <c r="E1006" s="1178">
        <f t="shared" si="15"/>
        <v>0</v>
      </c>
    </row>
    <row r="1007" spans="1:5" ht="14.25">
      <c r="A1007" s="1298" t="s">
        <v>2255</v>
      </c>
      <c r="B1007" s="1298">
        <v>28.002700000000001</v>
      </c>
      <c r="C1007" s="1298">
        <v>35.161799999999999</v>
      </c>
      <c r="D1007" s="1349">
        <v>0.79639552013833192</v>
      </c>
      <c r="E1007" s="1178">
        <f t="shared" si="15"/>
        <v>0</v>
      </c>
    </row>
    <row r="1008" spans="1:5" ht="14.25">
      <c r="A1008" s="1298" t="s">
        <v>2371</v>
      </c>
      <c r="B1008" s="1298">
        <v>28.002700000000001</v>
      </c>
      <c r="C1008" s="1298">
        <v>35.161799999999999</v>
      </c>
      <c r="D1008" s="1349">
        <v>0.79639552013833192</v>
      </c>
      <c r="E1008" s="1178">
        <f t="shared" si="15"/>
        <v>0</v>
      </c>
    </row>
    <row r="1009" spans="1:5" ht="14.25">
      <c r="A1009" s="1298" t="s">
        <v>2255</v>
      </c>
      <c r="B1009" s="1298">
        <v>365.89909999999998</v>
      </c>
      <c r="C1009" s="1298">
        <v>416.36160000000001</v>
      </c>
      <c r="D1009" s="1349">
        <v>0.87880126313281537</v>
      </c>
      <c r="E1009" s="1178">
        <f t="shared" si="15"/>
        <v>1.5</v>
      </c>
    </row>
    <row r="1010" spans="1:5" ht="14.25">
      <c r="A1010" s="1298" t="s">
        <v>2258</v>
      </c>
      <c r="B1010" s="1298">
        <v>182.4853</v>
      </c>
      <c r="C1010" s="1298">
        <v>196.6591</v>
      </c>
      <c r="D1010" s="1349">
        <v>0.92792705753255256</v>
      </c>
      <c r="E1010" s="1178">
        <f t="shared" si="15"/>
        <v>3</v>
      </c>
    </row>
    <row r="1011" spans="1:5" ht="14.25">
      <c r="A1011" s="1298" t="s">
        <v>2257</v>
      </c>
      <c r="B1011" s="1298">
        <v>140.58590000000001</v>
      </c>
      <c r="C1011" s="1298">
        <v>152.58590000000001</v>
      </c>
      <c r="D1011" s="1349">
        <v>0.92135577402630253</v>
      </c>
      <c r="E1011" s="1178">
        <f t="shared" si="15"/>
        <v>3</v>
      </c>
    </row>
    <row r="1012" spans="1:5" ht="14.25">
      <c r="A1012" s="1298" t="s">
        <v>2370</v>
      </c>
      <c r="B1012" s="1298">
        <v>8.1212</v>
      </c>
      <c r="C1012" s="1298">
        <v>8.1212</v>
      </c>
      <c r="D1012" s="1349">
        <v>1</v>
      </c>
      <c r="E1012" s="1178">
        <f t="shared" si="15"/>
        <v>3</v>
      </c>
    </row>
    <row r="1013" spans="1:5" ht="14.25">
      <c r="A1013" s="1298" t="s">
        <v>2371</v>
      </c>
      <c r="B1013" s="1298">
        <v>697.0915</v>
      </c>
      <c r="C1013" s="1298">
        <v>773.7278</v>
      </c>
      <c r="D1013" s="1349">
        <v>0.90095185929728772</v>
      </c>
      <c r="E1013" s="1178">
        <f t="shared" si="15"/>
        <v>3</v>
      </c>
    </row>
    <row r="1014" spans="1:5" ht="14.25">
      <c r="A1014" s="1298" t="s">
        <v>2255</v>
      </c>
      <c r="B1014" s="1298">
        <v>9.7624999999999993</v>
      </c>
      <c r="C1014" s="1298">
        <v>9.7606999999999999</v>
      </c>
      <c r="D1014" s="1349">
        <v>1</v>
      </c>
      <c r="E1014" s="1178">
        <f t="shared" si="15"/>
        <v>3</v>
      </c>
    </row>
    <row r="1015" spans="1:5" ht="14.25">
      <c r="A1015" s="1298" t="s">
        <v>2258</v>
      </c>
      <c r="B1015" s="1298">
        <v>84.9011</v>
      </c>
      <c r="C1015" s="1298">
        <v>90.861500000000007</v>
      </c>
      <c r="D1015" s="1349">
        <v>0.93440125905911742</v>
      </c>
      <c r="E1015" s="1178">
        <f t="shared" si="15"/>
        <v>3</v>
      </c>
    </row>
    <row r="1016" spans="1:5" ht="14.25">
      <c r="A1016" s="1298" t="s">
        <v>2370</v>
      </c>
      <c r="B1016" s="1298">
        <v>2.0419</v>
      </c>
      <c r="C1016" s="1298">
        <v>2.0419</v>
      </c>
      <c r="D1016" s="1349">
        <v>1</v>
      </c>
      <c r="E1016" s="1178">
        <f t="shared" si="15"/>
        <v>3</v>
      </c>
    </row>
    <row r="1017" spans="1:5" ht="14.25">
      <c r="A1017" s="1298" t="s">
        <v>2371</v>
      </c>
      <c r="B1017" s="1298">
        <v>96.705500000000001</v>
      </c>
      <c r="C1017" s="1298">
        <v>102.6641</v>
      </c>
      <c r="D1017" s="1349">
        <v>0.94196023731762124</v>
      </c>
      <c r="E1017" s="1178">
        <f t="shared" si="15"/>
        <v>3</v>
      </c>
    </row>
    <row r="1018" spans="1:5" ht="14.25">
      <c r="A1018" s="1298" t="s">
        <v>2255</v>
      </c>
      <c r="B1018" s="1298">
        <v>25.6493</v>
      </c>
      <c r="C1018" s="1298">
        <v>27.591200000000001</v>
      </c>
      <c r="D1018" s="1349">
        <v>0.92961886398561855</v>
      </c>
      <c r="E1018" s="1178">
        <f t="shared" si="15"/>
        <v>3</v>
      </c>
    </row>
    <row r="1019" spans="1:5" ht="14.25">
      <c r="A1019" s="1298" t="s">
        <v>2370</v>
      </c>
      <c r="B1019" s="1298">
        <v>0.41210000000000002</v>
      </c>
      <c r="C1019" s="1298">
        <v>0.41210000000000002</v>
      </c>
      <c r="D1019" s="1349">
        <v>1</v>
      </c>
      <c r="E1019" s="1178">
        <f t="shared" si="15"/>
        <v>3</v>
      </c>
    </row>
    <row r="1020" spans="1:5" ht="14.25">
      <c r="A1020" s="1298" t="s">
        <v>2371</v>
      </c>
      <c r="B1020" s="1298">
        <v>26.061399999999999</v>
      </c>
      <c r="C1020" s="1298">
        <v>28.003299999999999</v>
      </c>
      <c r="D1020" s="1349">
        <v>0.93065460142197531</v>
      </c>
      <c r="E1020" s="1178">
        <f t="shared" si="15"/>
        <v>3</v>
      </c>
    </row>
    <row r="1021" spans="1:5" ht="14.25">
      <c r="A1021" s="1298" t="s">
        <v>2255</v>
      </c>
      <c r="B1021" s="1298">
        <v>65.466399999999993</v>
      </c>
      <c r="C1021" s="1298">
        <v>82.196700000000007</v>
      </c>
      <c r="D1021" s="1349">
        <v>0.79646019852378502</v>
      </c>
      <c r="E1021" s="1178">
        <f t="shared" si="15"/>
        <v>0</v>
      </c>
    </row>
    <row r="1022" spans="1:5" ht="14.25">
      <c r="A1022" s="1298" t="s">
        <v>2371</v>
      </c>
      <c r="B1022" s="1298">
        <v>65.466399999999993</v>
      </c>
      <c r="C1022" s="1298">
        <v>82.196700000000007</v>
      </c>
      <c r="D1022" s="1349">
        <v>0.79646019852378502</v>
      </c>
      <c r="E1022" s="1178">
        <f t="shared" si="15"/>
        <v>0</v>
      </c>
    </row>
    <row r="1023" spans="1:5" ht="14.25">
      <c r="A1023" s="1298" t="s">
        <v>2255</v>
      </c>
      <c r="B1023" s="1298">
        <v>103.9102</v>
      </c>
      <c r="C1023" s="1298">
        <v>114.2179</v>
      </c>
      <c r="D1023" s="1349">
        <v>0.90975407532444563</v>
      </c>
      <c r="E1023" s="1178">
        <f t="shared" si="15"/>
        <v>3</v>
      </c>
    </row>
    <row r="1024" spans="1:5" ht="14.25">
      <c r="A1024" s="1298" t="s">
        <v>2370</v>
      </c>
      <c r="B1024" s="1298">
        <v>1.889</v>
      </c>
      <c r="C1024" s="1298">
        <v>1.8879999999999999</v>
      </c>
      <c r="D1024" s="1349">
        <v>1</v>
      </c>
      <c r="E1024" s="1178">
        <f t="shared" si="15"/>
        <v>3</v>
      </c>
    </row>
    <row r="1025" spans="1:5" ht="14.25">
      <c r="A1025" s="1298" t="s">
        <v>2371</v>
      </c>
      <c r="B1025" s="1298">
        <v>105.7992</v>
      </c>
      <c r="C1025" s="1298">
        <v>116.10590000000001</v>
      </c>
      <c r="D1025" s="1349">
        <v>0.91123017865586509</v>
      </c>
      <c r="E1025" s="1178">
        <f t="shared" si="15"/>
        <v>3</v>
      </c>
    </row>
    <row r="1026" spans="1:5" ht="14.25">
      <c r="A1026" s="1298" t="s">
        <v>2255</v>
      </c>
      <c r="B1026" s="1298">
        <v>17.2805</v>
      </c>
      <c r="C1026" s="1298">
        <v>18.365600000000001</v>
      </c>
      <c r="D1026" s="1349">
        <v>0.94091671385634013</v>
      </c>
      <c r="E1026" s="1178">
        <f t="shared" si="15"/>
        <v>3</v>
      </c>
    </row>
    <row r="1027" spans="1:5" ht="14.25">
      <c r="A1027" s="1298" t="s">
        <v>2371</v>
      </c>
      <c r="B1027" s="1298">
        <v>17.2805</v>
      </c>
      <c r="C1027" s="1298">
        <v>18.365600000000001</v>
      </c>
      <c r="D1027" s="1349">
        <v>0.94091671385634013</v>
      </c>
      <c r="E1027" s="1178">
        <f t="shared" ref="E1027:E1090" si="16">IF(D1027&gt;0.9,3,IF(D1027&gt;0.8,1.5,0))</f>
        <v>3</v>
      </c>
    </row>
    <row r="1028" spans="1:5" ht="14.25">
      <c r="A1028" s="1298" t="s">
        <v>2255</v>
      </c>
      <c r="B1028" s="1298">
        <v>22.244499999999999</v>
      </c>
      <c r="C1028" s="1298">
        <v>22.827300000000001</v>
      </c>
      <c r="D1028" s="1349">
        <v>0.97446916630525726</v>
      </c>
      <c r="E1028" s="1178">
        <f t="shared" si="16"/>
        <v>3</v>
      </c>
    </row>
    <row r="1029" spans="1:5" ht="14.25">
      <c r="A1029" s="1298" t="s">
        <v>2371</v>
      </c>
      <c r="B1029" s="1298">
        <v>22.244499999999999</v>
      </c>
      <c r="C1029" s="1298">
        <v>22.827300000000001</v>
      </c>
      <c r="D1029" s="1349">
        <v>0.97446916630525726</v>
      </c>
      <c r="E1029" s="1178">
        <f t="shared" si="16"/>
        <v>3</v>
      </c>
    </row>
    <row r="1030" spans="1:5" ht="14.25">
      <c r="A1030" s="1298" t="s">
        <v>2255</v>
      </c>
      <c r="B1030" s="1298">
        <v>113.1904</v>
      </c>
      <c r="C1030" s="1298">
        <v>123.3386</v>
      </c>
      <c r="D1030" s="1349">
        <v>0.91772081084105062</v>
      </c>
      <c r="E1030" s="1178">
        <f t="shared" si="16"/>
        <v>3</v>
      </c>
    </row>
    <row r="1031" spans="1:5" ht="14.25">
      <c r="A1031" s="1298" t="s">
        <v>2370</v>
      </c>
      <c r="B1031" s="1298">
        <v>2.0550000000000002</v>
      </c>
      <c r="C1031" s="1298">
        <v>2.0598999999999998</v>
      </c>
      <c r="D1031" s="1349">
        <v>0.99762124374969663</v>
      </c>
      <c r="E1031" s="1178">
        <f t="shared" si="16"/>
        <v>3</v>
      </c>
    </row>
    <row r="1032" spans="1:5" ht="14.25">
      <c r="A1032" s="1298" t="s">
        <v>2371</v>
      </c>
      <c r="B1032" s="1298">
        <v>115.2454</v>
      </c>
      <c r="C1032" s="1298">
        <v>125.3985</v>
      </c>
      <c r="D1032" s="1349">
        <v>0.91903332177019659</v>
      </c>
      <c r="E1032" s="1178">
        <f t="shared" si="16"/>
        <v>3</v>
      </c>
    </row>
    <row r="1033" spans="1:5" ht="14.25">
      <c r="A1033" s="1298" t="s">
        <v>2255</v>
      </c>
      <c r="B1033" s="1298">
        <v>47.198500000000003</v>
      </c>
      <c r="C1033" s="1298">
        <v>49.222999999999999</v>
      </c>
      <c r="D1033" s="1349">
        <v>0.958870853056498</v>
      </c>
      <c r="E1033" s="1178">
        <f t="shared" si="16"/>
        <v>3</v>
      </c>
    </row>
    <row r="1034" spans="1:5" ht="14.25">
      <c r="A1034" s="1298" t="s">
        <v>2370</v>
      </c>
      <c r="B1034" s="1298">
        <v>0.67779999999999996</v>
      </c>
      <c r="C1034" s="1298">
        <v>0.67930000000000001</v>
      </c>
      <c r="D1034" s="1349">
        <v>0.99779184454585601</v>
      </c>
      <c r="E1034" s="1178">
        <f t="shared" si="16"/>
        <v>3</v>
      </c>
    </row>
    <row r="1035" spans="1:5" ht="14.25">
      <c r="A1035" s="1298" t="s">
        <v>2371</v>
      </c>
      <c r="B1035" s="1298">
        <v>47.876300000000001</v>
      </c>
      <c r="C1035" s="1298">
        <v>49.902299999999997</v>
      </c>
      <c r="D1035" s="1349">
        <v>0.95940066890704434</v>
      </c>
      <c r="E1035" s="1178">
        <f t="shared" si="16"/>
        <v>3</v>
      </c>
    </row>
    <row r="1036" spans="1:5" ht="14.25">
      <c r="A1036" s="1298" t="s">
        <v>2255</v>
      </c>
      <c r="B1036" s="1298">
        <v>3.4394999999999998</v>
      </c>
      <c r="C1036" s="1298">
        <v>4.3804999999999996</v>
      </c>
      <c r="D1036" s="1349">
        <v>0.78518433968725032</v>
      </c>
      <c r="E1036" s="1178">
        <f t="shared" si="16"/>
        <v>0</v>
      </c>
    </row>
    <row r="1037" spans="1:5" ht="14.25">
      <c r="A1037" s="1298" t="s">
        <v>2371</v>
      </c>
      <c r="B1037" s="1298">
        <v>3.4394999999999998</v>
      </c>
      <c r="C1037" s="1298">
        <v>4.3804999999999996</v>
      </c>
      <c r="D1037" s="1349">
        <v>0.78518433968725032</v>
      </c>
      <c r="E1037" s="1178">
        <f t="shared" si="16"/>
        <v>0</v>
      </c>
    </row>
    <row r="1038" spans="1:5" ht="14.25">
      <c r="A1038" s="1298" t="s">
        <v>2255</v>
      </c>
      <c r="B1038" s="1298">
        <v>408.14179999999999</v>
      </c>
      <c r="C1038" s="1298">
        <v>451.9015</v>
      </c>
      <c r="D1038" s="1349">
        <v>0.90316540219494734</v>
      </c>
      <c r="E1038" s="1178">
        <f t="shared" si="16"/>
        <v>3</v>
      </c>
    </row>
    <row r="1039" spans="1:5" ht="14.25">
      <c r="A1039" s="1298" t="s">
        <v>2258</v>
      </c>
      <c r="B1039" s="1298">
        <v>84.9011</v>
      </c>
      <c r="C1039" s="1298">
        <v>90.861500000000007</v>
      </c>
      <c r="D1039" s="1349">
        <v>0.93440125905911742</v>
      </c>
      <c r="E1039" s="1178">
        <f t="shared" si="16"/>
        <v>3</v>
      </c>
    </row>
    <row r="1040" spans="1:5" ht="14.25">
      <c r="A1040" s="1298" t="s">
        <v>2370</v>
      </c>
      <c r="B1040" s="1298">
        <v>7.0758000000000001</v>
      </c>
      <c r="C1040" s="1298">
        <v>7.0811999999999999</v>
      </c>
      <c r="D1040" s="1349">
        <v>0.99923741738688354</v>
      </c>
      <c r="E1040" s="1178">
        <f t="shared" si="16"/>
        <v>3</v>
      </c>
    </row>
    <row r="1041" spans="1:5" ht="14.25">
      <c r="A1041" s="1298" t="s">
        <v>2371</v>
      </c>
      <c r="B1041" s="1298">
        <v>500.11869999999999</v>
      </c>
      <c r="C1041" s="1298">
        <v>549.8442</v>
      </c>
      <c r="D1041" s="1349">
        <v>0.90956438205586232</v>
      </c>
      <c r="E1041" s="1178">
        <f t="shared" si="16"/>
        <v>3</v>
      </c>
    </row>
    <row r="1042" spans="1:5" ht="14.25">
      <c r="A1042" s="1298" t="s">
        <v>2255</v>
      </c>
      <c r="B1042" s="1298">
        <v>138.61019999999999</v>
      </c>
      <c r="C1042" s="1298">
        <v>148.03649999999999</v>
      </c>
      <c r="D1042" s="1349">
        <v>0.93632448754192377</v>
      </c>
      <c r="E1042" s="1178">
        <f t="shared" si="16"/>
        <v>3</v>
      </c>
    </row>
    <row r="1043" spans="1:5" ht="14.25">
      <c r="A1043" s="1298" t="s">
        <v>2258</v>
      </c>
      <c r="B1043" s="1298">
        <v>261.40589999999997</v>
      </c>
      <c r="C1043" s="1298">
        <v>295.90010000000001</v>
      </c>
      <c r="D1043" s="1349">
        <v>0.8834261968819882</v>
      </c>
      <c r="E1043" s="1178">
        <f t="shared" si="16"/>
        <v>1.5</v>
      </c>
    </row>
    <row r="1044" spans="1:5" ht="14.25">
      <c r="A1044" s="1298" t="s">
        <v>2370</v>
      </c>
      <c r="B1044" s="1298">
        <v>4.5997000000000003</v>
      </c>
      <c r="C1044" s="1298">
        <v>5.5694999999999997</v>
      </c>
      <c r="D1044" s="1349">
        <v>0.82587305862285665</v>
      </c>
      <c r="E1044" s="1178">
        <f t="shared" si="16"/>
        <v>1.5</v>
      </c>
    </row>
    <row r="1045" spans="1:5" ht="14.25">
      <c r="A1045" s="1298" t="s">
        <v>2371</v>
      </c>
      <c r="B1045" s="1298">
        <v>404.61579999999998</v>
      </c>
      <c r="C1045" s="1298">
        <v>449.5061</v>
      </c>
      <c r="D1045" s="1349">
        <v>0.90013416948068115</v>
      </c>
      <c r="E1045" s="1178">
        <f t="shared" si="16"/>
        <v>3</v>
      </c>
    </row>
    <row r="1046" spans="1:5" ht="14.25">
      <c r="A1046" s="1298" t="s">
        <v>2255</v>
      </c>
      <c r="B1046" s="1298">
        <v>10.307600000000001</v>
      </c>
      <c r="C1046" s="1298">
        <v>13.8415</v>
      </c>
      <c r="D1046" s="1349">
        <v>0.74468807571433737</v>
      </c>
      <c r="E1046" s="1178">
        <f t="shared" si="16"/>
        <v>0</v>
      </c>
    </row>
    <row r="1047" spans="1:5" ht="14.25">
      <c r="A1047" s="1298" t="s">
        <v>2371</v>
      </c>
      <c r="B1047" s="1298">
        <v>10.307600000000001</v>
      </c>
      <c r="C1047" s="1298">
        <v>13.8415</v>
      </c>
      <c r="D1047" s="1349">
        <v>0.74468807571433737</v>
      </c>
      <c r="E1047" s="1178">
        <f t="shared" si="16"/>
        <v>0</v>
      </c>
    </row>
    <row r="1048" spans="1:5" ht="14.25">
      <c r="A1048" s="1298" t="s">
        <v>2255</v>
      </c>
      <c r="B1048" s="1298">
        <v>65.165599999999998</v>
      </c>
      <c r="C1048" s="1298">
        <v>83.259299999999996</v>
      </c>
      <c r="D1048" s="1349">
        <v>0.78268253516423991</v>
      </c>
      <c r="E1048" s="1178">
        <f t="shared" si="16"/>
        <v>0</v>
      </c>
    </row>
    <row r="1049" spans="1:5" ht="14.25">
      <c r="A1049" s="1298" t="s">
        <v>2371</v>
      </c>
      <c r="B1049" s="1298">
        <v>65.165599999999998</v>
      </c>
      <c r="C1049" s="1298">
        <v>83.259299999999996</v>
      </c>
      <c r="D1049" s="1349">
        <v>0.78268253516423991</v>
      </c>
      <c r="E1049" s="1178">
        <f t="shared" si="16"/>
        <v>0</v>
      </c>
    </row>
    <row r="1050" spans="1:5" ht="14.25">
      <c r="A1050" s="1298" t="s">
        <v>2255</v>
      </c>
      <c r="B1050" s="1298">
        <v>69.228499999999997</v>
      </c>
      <c r="C1050" s="1298">
        <v>76.136200000000002</v>
      </c>
      <c r="D1050" s="1349">
        <v>0.90927180500208837</v>
      </c>
      <c r="E1050" s="1178">
        <f t="shared" si="16"/>
        <v>3</v>
      </c>
    </row>
    <row r="1051" spans="1:5" ht="14.25">
      <c r="A1051" s="1298" t="s">
        <v>2370</v>
      </c>
      <c r="B1051" s="1298">
        <v>2.6916000000000002</v>
      </c>
      <c r="C1051" s="1298">
        <v>2.6930999999999998</v>
      </c>
      <c r="D1051" s="1349">
        <v>0.99944302105380411</v>
      </c>
      <c r="E1051" s="1178">
        <f t="shared" si="16"/>
        <v>3</v>
      </c>
    </row>
    <row r="1052" spans="1:5" ht="14.25">
      <c r="A1052" s="1298" t="s">
        <v>2371</v>
      </c>
      <c r="B1052" s="1298">
        <v>71.920100000000005</v>
      </c>
      <c r="C1052" s="1298">
        <v>78.829300000000003</v>
      </c>
      <c r="D1052" s="1349">
        <v>0.91235238673944841</v>
      </c>
      <c r="E1052" s="1178">
        <f t="shared" si="16"/>
        <v>3</v>
      </c>
    </row>
    <row r="1053" spans="1:5" ht="14.25">
      <c r="A1053" s="1298" t="s">
        <v>2255</v>
      </c>
      <c r="B1053" s="1298">
        <v>15.8483</v>
      </c>
      <c r="C1053" s="1298">
        <v>17.202500000000001</v>
      </c>
      <c r="D1053" s="1349">
        <v>0.92127888388315649</v>
      </c>
      <c r="E1053" s="1178">
        <f t="shared" si="16"/>
        <v>3</v>
      </c>
    </row>
    <row r="1054" spans="1:5" ht="14.25">
      <c r="A1054" s="1298" t="s">
        <v>2370</v>
      </c>
      <c r="B1054" s="1298">
        <v>4.0132000000000003</v>
      </c>
      <c r="C1054" s="1298">
        <v>4.0141999999999998</v>
      </c>
      <c r="D1054" s="1349">
        <v>0.99975088436052018</v>
      </c>
      <c r="E1054" s="1178">
        <f t="shared" si="16"/>
        <v>3</v>
      </c>
    </row>
    <row r="1055" spans="1:5" ht="14.25">
      <c r="A1055" s="1298" t="s">
        <v>2371</v>
      </c>
      <c r="B1055" s="1298">
        <v>19.861499999999999</v>
      </c>
      <c r="C1055" s="1298">
        <v>21.216699999999999</v>
      </c>
      <c r="D1055" s="1349">
        <v>0.93612578770496824</v>
      </c>
      <c r="E1055" s="1178">
        <f t="shared" si="16"/>
        <v>3</v>
      </c>
    </row>
    <row r="1056" spans="1:5" ht="14.25">
      <c r="A1056" s="1298" t="s">
        <v>2255</v>
      </c>
      <c r="B1056" s="1298">
        <v>35.995600000000003</v>
      </c>
      <c r="C1056" s="1298">
        <v>40.7883</v>
      </c>
      <c r="D1056" s="1349">
        <v>0.88249816736662234</v>
      </c>
      <c r="E1056" s="1178">
        <f t="shared" si="16"/>
        <v>1.5</v>
      </c>
    </row>
    <row r="1057" spans="1:5" ht="14.25">
      <c r="A1057" s="1298" t="s">
        <v>2371</v>
      </c>
      <c r="B1057" s="1298">
        <v>35.995600000000003</v>
      </c>
      <c r="C1057" s="1298">
        <v>40.7883</v>
      </c>
      <c r="D1057" s="1349">
        <v>0.88249816736662234</v>
      </c>
      <c r="E1057" s="1178">
        <f t="shared" si="16"/>
        <v>1.5</v>
      </c>
    </row>
    <row r="1058" spans="1:5" ht="14.25">
      <c r="A1058" s="1298" t="s">
        <v>2255</v>
      </c>
      <c r="B1058" s="1298">
        <v>104.60120000000001</v>
      </c>
      <c r="C1058" s="1298">
        <v>113.2106</v>
      </c>
      <c r="D1058" s="1349">
        <v>0.92395235075160809</v>
      </c>
      <c r="E1058" s="1178">
        <f t="shared" si="16"/>
        <v>3</v>
      </c>
    </row>
    <row r="1059" spans="1:5" ht="14.25">
      <c r="A1059" s="1298" t="s">
        <v>2370</v>
      </c>
      <c r="B1059" s="1298">
        <v>2.6042999999999998</v>
      </c>
      <c r="C1059" s="1298">
        <v>2.6042999999999998</v>
      </c>
      <c r="D1059" s="1349">
        <v>1</v>
      </c>
      <c r="E1059" s="1178">
        <f t="shared" si="16"/>
        <v>3</v>
      </c>
    </row>
    <row r="1060" spans="1:5" ht="14.25">
      <c r="A1060" s="1298" t="s">
        <v>2371</v>
      </c>
      <c r="B1060" s="1298">
        <v>107.2055</v>
      </c>
      <c r="C1060" s="1298">
        <v>115.81489999999999</v>
      </c>
      <c r="D1060" s="1349">
        <v>0.92566241476701183</v>
      </c>
      <c r="E1060" s="1178">
        <f t="shared" si="16"/>
        <v>3</v>
      </c>
    </row>
    <row r="1061" spans="1:5" ht="14.25">
      <c r="A1061" s="1298" t="s">
        <v>2255</v>
      </c>
      <c r="B1061" s="1298">
        <v>24.884699999999999</v>
      </c>
      <c r="C1061" s="1298">
        <v>30.713899999999999</v>
      </c>
      <c r="D1061" s="1349">
        <v>0.81020970961030669</v>
      </c>
      <c r="E1061" s="1178">
        <f t="shared" si="16"/>
        <v>1.5</v>
      </c>
    </row>
    <row r="1062" spans="1:5" ht="14.25">
      <c r="A1062" s="1298" t="s">
        <v>2371</v>
      </c>
      <c r="B1062" s="1298">
        <v>24.884699999999999</v>
      </c>
      <c r="C1062" s="1298">
        <v>30.713899999999999</v>
      </c>
      <c r="D1062" s="1349">
        <v>0.81020970961030669</v>
      </c>
      <c r="E1062" s="1178">
        <f t="shared" si="16"/>
        <v>1.5</v>
      </c>
    </row>
    <row r="1063" spans="1:5" ht="14.25">
      <c r="A1063" s="1298" t="s">
        <v>2255</v>
      </c>
      <c r="B1063" s="1298">
        <v>12.1721</v>
      </c>
      <c r="C1063" s="1298">
        <v>15.8079</v>
      </c>
      <c r="D1063" s="1349">
        <v>0.7700010754116613</v>
      </c>
      <c r="E1063" s="1178">
        <f t="shared" si="16"/>
        <v>0</v>
      </c>
    </row>
    <row r="1064" spans="1:5" ht="14.25">
      <c r="A1064" s="1298" t="s">
        <v>2371</v>
      </c>
      <c r="B1064" s="1298">
        <v>12.1721</v>
      </c>
      <c r="C1064" s="1298">
        <v>15.8079</v>
      </c>
      <c r="D1064" s="1349">
        <v>0.7700010754116613</v>
      </c>
      <c r="E1064" s="1178">
        <f t="shared" si="16"/>
        <v>0</v>
      </c>
    </row>
    <row r="1065" spans="1:5" ht="14.25">
      <c r="A1065" s="1298" t="s">
        <v>2255</v>
      </c>
      <c r="B1065" s="1298">
        <v>476.81380000000001</v>
      </c>
      <c r="C1065" s="1298">
        <v>538.99670000000003</v>
      </c>
      <c r="D1065" s="1349">
        <v>0.88463213225609727</v>
      </c>
      <c r="E1065" s="1178">
        <f t="shared" si="16"/>
        <v>1.5</v>
      </c>
    </row>
    <row r="1066" spans="1:5" ht="14.25">
      <c r="A1066" s="1298" t="s">
        <v>2258</v>
      </c>
      <c r="B1066" s="1298">
        <v>261.40589999999997</v>
      </c>
      <c r="C1066" s="1298">
        <v>295.90010000000001</v>
      </c>
      <c r="D1066" s="1349">
        <v>0.8834261968819882</v>
      </c>
      <c r="E1066" s="1178">
        <f t="shared" si="16"/>
        <v>1.5</v>
      </c>
    </row>
    <row r="1067" spans="1:5" ht="14.25">
      <c r="A1067" s="1298" t="s">
        <v>2370</v>
      </c>
      <c r="B1067" s="1298">
        <v>13.908799999999999</v>
      </c>
      <c r="C1067" s="1298">
        <v>14.8811</v>
      </c>
      <c r="D1067" s="1349">
        <v>0.93466208815208551</v>
      </c>
      <c r="E1067" s="1178">
        <f t="shared" si="16"/>
        <v>3</v>
      </c>
    </row>
    <row r="1068" spans="1:5" ht="14.25">
      <c r="A1068" s="1298" t="s">
        <v>2371</v>
      </c>
      <c r="B1068" s="1298">
        <v>752.12850000000003</v>
      </c>
      <c r="C1068" s="1298">
        <v>849.77790000000005</v>
      </c>
      <c r="D1068" s="1349">
        <v>0.88508832719702402</v>
      </c>
      <c r="E1068" s="1178">
        <f t="shared" si="16"/>
        <v>1.5</v>
      </c>
    </row>
    <row r="1069" spans="1:5" ht="14.25">
      <c r="A1069" s="1298" t="s">
        <v>2255</v>
      </c>
      <c r="B1069" s="1298">
        <v>10.3443</v>
      </c>
      <c r="C1069" s="1298">
        <v>10.664999999999999</v>
      </c>
      <c r="D1069" s="1349">
        <v>0.96992967651195494</v>
      </c>
      <c r="E1069" s="1178">
        <f t="shared" si="16"/>
        <v>3</v>
      </c>
    </row>
    <row r="1070" spans="1:5" ht="14.25">
      <c r="A1070" s="1298" t="s">
        <v>2257</v>
      </c>
      <c r="B1070" s="1298">
        <v>2</v>
      </c>
      <c r="C1070" s="1298">
        <v>2</v>
      </c>
      <c r="D1070" s="1349">
        <v>1</v>
      </c>
      <c r="E1070" s="1178">
        <f t="shared" si="16"/>
        <v>3</v>
      </c>
    </row>
    <row r="1071" spans="1:5" ht="14.25">
      <c r="A1071" s="1298" t="s">
        <v>2370</v>
      </c>
      <c r="B1071" s="1298">
        <v>0.62239999999999995</v>
      </c>
      <c r="C1071" s="1298">
        <v>0.62239999999999995</v>
      </c>
      <c r="D1071" s="1349">
        <v>1</v>
      </c>
      <c r="E1071" s="1178">
        <f t="shared" si="16"/>
        <v>3</v>
      </c>
    </row>
    <row r="1072" spans="1:5" ht="14.25">
      <c r="A1072" s="1298" t="s">
        <v>2371</v>
      </c>
      <c r="B1072" s="1298">
        <v>12.966699999999999</v>
      </c>
      <c r="C1072" s="1298">
        <v>13.2874</v>
      </c>
      <c r="D1072" s="1349">
        <v>0.97586435269503435</v>
      </c>
      <c r="E1072" s="1178">
        <f t="shared" si="16"/>
        <v>3</v>
      </c>
    </row>
    <row r="1073" spans="1:5" ht="14.25">
      <c r="A1073" s="1298" t="s">
        <v>2255</v>
      </c>
      <c r="B1073" s="1298">
        <v>36.396299999999997</v>
      </c>
      <c r="C1073" s="1298">
        <v>37.8474</v>
      </c>
      <c r="D1073" s="1349">
        <v>0.96165918927059724</v>
      </c>
      <c r="E1073" s="1178">
        <f t="shared" si="16"/>
        <v>3</v>
      </c>
    </row>
    <row r="1074" spans="1:5" ht="14.25">
      <c r="A1074" s="1298" t="s">
        <v>2371</v>
      </c>
      <c r="B1074" s="1298">
        <v>36.396299999999997</v>
      </c>
      <c r="C1074" s="1298">
        <v>37.8474</v>
      </c>
      <c r="D1074" s="1349">
        <v>0.96165918927059724</v>
      </c>
      <c r="E1074" s="1178">
        <f t="shared" si="16"/>
        <v>3</v>
      </c>
    </row>
    <row r="1075" spans="1:5" ht="14.25">
      <c r="A1075" s="1298" t="s">
        <v>2255</v>
      </c>
      <c r="B1075" s="1298">
        <v>19.325299999999999</v>
      </c>
      <c r="C1075" s="1298">
        <v>20.7225</v>
      </c>
      <c r="D1075" s="1349">
        <v>0.93257570273856916</v>
      </c>
      <c r="E1075" s="1178">
        <f t="shared" si="16"/>
        <v>3</v>
      </c>
    </row>
    <row r="1076" spans="1:5" ht="14.25">
      <c r="A1076" s="1298" t="s">
        <v>2371</v>
      </c>
      <c r="B1076" s="1298">
        <v>19.325299999999999</v>
      </c>
      <c r="C1076" s="1298">
        <v>20.7225</v>
      </c>
      <c r="D1076" s="1349">
        <v>0.93257570273856916</v>
      </c>
      <c r="E1076" s="1178">
        <f t="shared" si="16"/>
        <v>3</v>
      </c>
    </row>
    <row r="1077" spans="1:5" ht="14.25">
      <c r="A1077" s="1298" t="s">
        <v>2255</v>
      </c>
      <c r="B1077" s="1298">
        <v>11.9466</v>
      </c>
      <c r="C1077" s="1298">
        <v>17.8477</v>
      </c>
      <c r="D1077" s="1349">
        <v>0.66936355945023729</v>
      </c>
      <c r="E1077" s="1178">
        <f t="shared" si="16"/>
        <v>0</v>
      </c>
    </row>
    <row r="1078" spans="1:5" ht="14.25">
      <c r="A1078" s="1298" t="s">
        <v>2371</v>
      </c>
      <c r="B1078" s="1298">
        <v>11.9466</v>
      </c>
      <c r="C1078" s="1298">
        <v>17.8477</v>
      </c>
      <c r="D1078" s="1349">
        <v>0.66936355945023729</v>
      </c>
      <c r="E1078" s="1178">
        <f t="shared" si="16"/>
        <v>0</v>
      </c>
    </row>
    <row r="1079" spans="1:5" ht="14.25">
      <c r="A1079" s="1298" t="s">
        <v>2255</v>
      </c>
      <c r="B1079" s="1298">
        <v>78.012500000000003</v>
      </c>
      <c r="C1079" s="1298">
        <v>87.082599999999999</v>
      </c>
      <c r="D1079" s="1349">
        <v>0.89584486453091661</v>
      </c>
      <c r="E1079" s="1178">
        <f t="shared" si="16"/>
        <v>1.5</v>
      </c>
    </row>
    <row r="1080" spans="1:5" ht="14.25">
      <c r="A1080" s="1298" t="s">
        <v>2257</v>
      </c>
      <c r="B1080" s="1298">
        <v>2</v>
      </c>
      <c r="C1080" s="1298">
        <v>2</v>
      </c>
      <c r="D1080" s="1349">
        <v>1</v>
      </c>
      <c r="E1080" s="1178">
        <f t="shared" si="16"/>
        <v>3</v>
      </c>
    </row>
    <row r="1081" spans="1:5" ht="14.25">
      <c r="A1081" s="1298" t="s">
        <v>2370</v>
      </c>
      <c r="B1081" s="1298">
        <v>0.62239999999999995</v>
      </c>
      <c r="C1081" s="1298">
        <v>0.62239999999999995</v>
      </c>
      <c r="D1081" s="1349">
        <v>1</v>
      </c>
      <c r="E1081" s="1178">
        <f t="shared" si="16"/>
        <v>3</v>
      </c>
    </row>
    <row r="1082" spans="1:5" ht="14.25">
      <c r="A1082" s="1298" t="s">
        <v>2371</v>
      </c>
      <c r="B1082" s="1298">
        <v>80.634900000000002</v>
      </c>
      <c r="C1082" s="1298">
        <v>89.704999999999998</v>
      </c>
      <c r="D1082" s="1349">
        <v>0.89888969399699015</v>
      </c>
      <c r="E1082" s="1178">
        <f t="shared" si="16"/>
        <v>1.5</v>
      </c>
    </row>
    <row r="1083" spans="1:5" ht="14.25">
      <c r="A1083" s="1298" t="s">
        <v>2255</v>
      </c>
      <c r="B1083" s="1298">
        <v>190.251</v>
      </c>
      <c r="C1083" s="1298">
        <v>203.41079999999999</v>
      </c>
      <c r="D1083" s="1349">
        <v>0.93530432012459519</v>
      </c>
      <c r="E1083" s="1178">
        <f t="shared" si="16"/>
        <v>3</v>
      </c>
    </row>
    <row r="1084" spans="1:5" ht="14.25">
      <c r="A1084" s="1298" t="s">
        <v>2258</v>
      </c>
      <c r="B1084" s="1298">
        <v>39.379600000000003</v>
      </c>
      <c r="C1084" s="1298">
        <v>42.613199999999999</v>
      </c>
      <c r="D1084" s="1349">
        <v>0.92411740962894129</v>
      </c>
      <c r="E1084" s="1178">
        <f t="shared" si="16"/>
        <v>3</v>
      </c>
    </row>
    <row r="1085" spans="1:5" ht="14.25">
      <c r="A1085" s="1298" t="s">
        <v>2257</v>
      </c>
      <c r="B1085" s="1298">
        <v>84.631100000000004</v>
      </c>
      <c r="C1085" s="1298">
        <v>87.970600000000005</v>
      </c>
      <c r="D1085" s="1349">
        <v>0.96203845375614128</v>
      </c>
      <c r="E1085" s="1178">
        <f t="shared" si="16"/>
        <v>3</v>
      </c>
    </row>
    <row r="1086" spans="1:5" ht="14.25">
      <c r="A1086" s="1298" t="s">
        <v>2370</v>
      </c>
      <c r="B1086" s="1298">
        <v>2.0699000000000001</v>
      </c>
      <c r="C1086" s="1298">
        <v>2.0699000000000001</v>
      </c>
      <c r="D1086" s="1349">
        <v>1</v>
      </c>
      <c r="E1086" s="1178">
        <f t="shared" si="16"/>
        <v>3</v>
      </c>
    </row>
    <row r="1087" spans="1:5" ht="14.25">
      <c r="A1087" s="1298" t="s">
        <v>2371</v>
      </c>
      <c r="B1087" s="1298">
        <v>316.33159999999998</v>
      </c>
      <c r="C1087" s="1298">
        <v>336.06450000000001</v>
      </c>
      <c r="D1087" s="1349">
        <v>0.94128240263401819</v>
      </c>
      <c r="E1087" s="1178">
        <f t="shared" si="16"/>
        <v>3</v>
      </c>
    </row>
    <row r="1088" spans="1:5" ht="14.25">
      <c r="A1088" s="1298" t="s">
        <v>2255</v>
      </c>
      <c r="B1088" s="1298">
        <v>24.346599999999999</v>
      </c>
      <c r="C1088" s="1298">
        <v>29.067900000000002</v>
      </c>
      <c r="D1088" s="1349">
        <v>0.83757684593658299</v>
      </c>
      <c r="E1088" s="1178">
        <f t="shared" si="16"/>
        <v>1.5</v>
      </c>
    </row>
    <row r="1089" spans="1:5" ht="14.25">
      <c r="A1089" s="1298" t="s">
        <v>2257</v>
      </c>
      <c r="B1089" s="1298">
        <v>46.003799999999998</v>
      </c>
      <c r="C1089" s="1298">
        <v>51.003799999999998</v>
      </c>
      <c r="D1089" s="1349">
        <v>0.90196808865221811</v>
      </c>
      <c r="E1089" s="1178">
        <f t="shared" si="16"/>
        <v>3</v>
      </c>
    </row>
    <row r="1090" spans="1:5" ht="14.25">
      <c r="A1090" s="1298" t="s">
        <v>2370</v>
      </c>
      <c r="B1090" s="1298">
        <v>1.0578000000000001</v>
      </c>
      <c r="C1090" s="1298">
        <v>1.0589999999999999</v>
      </c>
      <c r="D1090" s="1349">
        <v>0.99886685552407928</v>
      </c>
      <c r="E1090" s="1178">
        <f t="shared" si="16"/>
        <v>3</v>
      </c>
    </row>
    <row r="1091" spans="1:5" ht="14.25">
      <c r="A1091" s="1298" t="s">
        <v>2371</v>
      </c>
      <c r="B1091" s="1298">
        <v>71.408199999999994</v>
      </c>
      <c r="C1091" s="1298">
        <v>81.130700000000004</v>
      </c>
      <c r="D1091" s="1349">
        <v>0.88016250322011269</v>
      </c>
      <c r="E1091" s="1178">
        <f t="shared" ref="E1091:E1154" si="17">IF(D1091&gt;0.9,3,IF(D1091&gt;0.8,1.5,0))</f>
        <v>1.5</v>
      </c>
    </row>
    <row r="1092" spans="1:5" ht="14.25">
      <c r="A1092" s="1298" t="s">
        <v>2255</v>
      </c>
      <c r="B1092" s="1298">
        <v>12.9255</v>
      </c>
      <c r="C1092" s="1298">
        <v>13.723699999999999</v>
      </c>
      <c r="D1092" s="1349">
        <v>0.94183784256432301</v>
      </c>
      <c r="E1092" s="1178">
        <f t="shared" si="17"/>
        <v>3</v>
      </c>
    </row>
    <row r="1093" spans="1:5" ht="14.25">
      <c r="A1093" s="1298" t="s">
        <v>2371</v>
      </c>
      <c r="B1093" s="1298">
        <v>12.9255</v>
      </c>
      <c r="C1093" s="1298">
        <v>13.723699999999999</v>
      </c>
      <c r="D1093" s="1349">
        <v>0.94183784256432301</v>
      </c>
      <c r="E1093" s="1178">
        <f t="shared" si="17"/>
        <v>3</v>
      </c>
    </row>
    <row r="1094" spans="1:5" ht="14.25">
      <c r="A1094" s="1298" t="s">
        <v>2255</v>
      </c>
      <c r="B1094" s="1298">
        <v>53.725499999999997</v>
      </c>
      <c r="C1094" s="1298">
        <v>61.052599999999998</v>
      </c>
      <c r="D1094" s="1349">
        <v>0.87998709309677225</v>
      </c>
      <c r="E1094" s="1178">
        <f t="shared" si="17"/>
        <v>1.5</v>
      </c>
    </row>
    <row r="1095" spans="1:5" ht="14.25">
      <c r="A1095" s="1298" t="s">
        <v>2371</v>
      </c>
      <c r="B1095" s="1298">
        <v>53.725499999999997</v>
      </c>
      <c r="C1095" s="1298">
        <v>61.052599999999998</v>
      </c>
      <c r="D1095" s="1349">
        <v>0.87998709309677225</v>
      </c>
      <c r="E1095" s="1178">
        <f t="shared" si="17"/>
        <v>1.5</v>
      </c>
    </row>
    <row r="1096" spans="1:5" ht="14.25">
      <c r="A1096" s="1298" t="s">
        <v>2255</v>
      </c>
      <c r="B1096" s="1298">
        <v>5.0679999999999996</v>
      </c>
      <c r="C1096" s="1298">
        <v>8.5695999999999994</v>
      </c>
      <c r="D1096" s="1349">
        <v>0.5913928304705004</v>
      </c>
      <c r="E1096" s="1178">
        <f t="shared" si="17"/>
        <v>0</v>
      </c>
    </row>
    <row r="1097" spans="1:5" ht="14.25">
      <c r="A1097" s="1298" t="s">
        <v>2371</v>
      </c>
      <c r="B1097" s="1298">
        <v>5.0679999999999996</v>
      </c>
      <c r="C1097" s="1298">
        <v>8.5695999999999994</v>
      </c>
      <c r="D1097" s="1349">
        <v>0.5913928304705004</v>
      </c>
      <c r="E1097" s="1178">
        <f t="shared" si="17"/>
        <v>0</v>
      </c>
    </row>
    <row r="1098" spans="1:5" ht="14.25">
      <c r="A1098" s="1298" t="s">
        <v>2255</v>
      </c>
      <c r="B1098" s="1298">
        <v>11.326000000000001</v>
      </c>
      <c r="C1098" s="1298">
        <v>12.9964</v>
      </c>
      <c r="D1098" s="1349">
        <v>0.8714720999661445</v>
      </c>
      <c r="E1098" s="1178">
        <f t="shared" si="17"/>
        <v>1.5</v>
      </c>
    </row>
    <row r="1099" spans="1:5" ht="14.25">
      <c r="A1099" s="1298" t="s">
        <v>2371</v>
      </c>
      <c r="B1099" s="1298">
        <v>11.326000000000001</v>
      </c>
      <c r="C1099" s="1298">
        <v>12.9964</v>
      </c>
      <c r="D1099" s="1349">
        <v>0.8714720999661445</v>
      </c>
      <c r="E1099" s="1178">
        <f t="shared" si="17"/>
        <v>1.5</v>
      </c>
    </row>
    <row r="1100" spans="1:5" ht="14.25">
      <c r="A1100" s="1298" t="s">
        <v>2255</v>
      </c>
      <c r="B1100" s="1298">
        <v>14.213900000000001</v>
      </c>
      <c r="C1100" s="1298">
        <v>16.1084</v>
      </c>
      <c r="D1100" s="1349">
        <v>0.88239055399667254</v>
      </c>
      <c r="E1100" s="1178">
        <f t="shared" si="17"/>
        <v>1.5</v>
      </c>
    </row>
    <row r="1101" spans="1:5" ht="14.25">
      <c r="A1101" s="1298" t="s">
        <v>2371</v>
      </c>
      <c r="B1101" s="1298">
        <v>14.213900000000001</v>
      </c>
      <c r="C1101" s="1298">
        <v>16.1084</v>
      </c>
      <c r="D1101" s="1349">
        <v>0.88239055399667254</v>
      </c>
      <c r="E1101" s="1178">
        <f t="shared" si="17"/>
        <v>1.5</v>
      </c>
    </row>
    <row r="1102" spans="1:5" ht="14.25">
      <c r="A1102" s="1298" t="s">
        <v>2255</v>
      </c>
      <c r="B1102" s="1298">
        <v>311.85649999999998</v>
      </c>
      <c r="C1102" s="1298">
        <v>344.92939999999999</v>
      </c>
      <c r="D1102" s="1349">
        <v>0.90411690044397486</v>
      </c>
      <c r="E1102" s="1178">
        <f t="shared" si="17"/>
        <v>3</v>
      </c>
    </row>
    <row r="1103" spans="1:5" ht="14.25">
      <c r="A1103" s="1298" t="s">
        <v>2258</v>
      </c>
      <c r="B1103" s="1298">
        <v>39.379600000000003</v>
      </c>
      <c r="C1103" s="1298">
        <v>42.613199999999999</v>
      </c>
      <c r="D1103" s="1349">
        <v>0.92411740962894129</v>
      </c>
      <c r="E1103" s="1178">
        <f t="shared" si="17"/>
        <v>3</v>
      </c>
    </row>
    <row r="1104" spans="1:5" ht="14.25">
      <c r="A1104" s="1298" t="s">
        <v>2257</v>
      </c>
      <c r="B1104" s="1298">
        <v>130.63489999999999</v>
      </c>
      <c r="C1104" s="1298">
        <v>138.9744</v>
      </c>
      <c r="D1104" s="1349">
        <v>0.93999254538965449</v>
      </c>
      <c r="E1104" s="1178">
        <f t="shared" si="17"/>
        <v>3</v>
      </c>
    </row>
    <row r="1105" spans="1:5" ht="14.25">
      <c r="A1105" s="1298" t="s">
        <v>2370</v>
      </c>
      <c r="B1105" s="1298">
        <v>3.1276999999999999</v>
      </c>
      <c r="C1105" s="1298">
        <v>3.1288999999999998</v>
      </c>
      <c r="D1105" s="1349">
        <v>0.99961647863466396</v>
      </c>
      <c r="E1105" s="1178">
        <f t="shared" si="17"/>
        <v>3</v>
      </c>
    </row>
    <row r="1106" spans="1:5" ht="14.25">
      <c r="A1106" s="1298" t="s">
        <v>2371</v>
      </c>
      <c r="B1106" s="1298">
        <v>484.99869999999999</v>
      </c>
      <c r="C1106" s="1298">
        <v>529.64589999999998</v>
      </c>
      <c r="D1106" s="1349">
        <v>0.91570368051560491</v>
      </c>
      <c r="E1106" s="1178">
        <f t="shared" si="17"/>
        <v>3</v>
      </c>
    </row>
    <row r="1107" spans="1:5" ht="14.25">
      <c r="A1107" s="1298" t="s">
        <v>2255</v>
      </c>
      <c r="B1107" s="1298">
        <v>82.260099999999994</v>
      </c>
      <c r="C1107" s="1298">
        <v>90.701800000000006</v>
      </c>
      <c r="D1107" s="1349">
        <v>0.90692907968750347</v>
      </c>
      <c r="E1107" s="1178">
        <f t="shared" si="17"/>
        <v>3</v>
      </c>
    </row>
    <row r="1108" spans="1:5" ht="14.25">
      <c r="A1108" s="1298" t="s">
        <v>2257</v>
      </c>
      <c r="B1108" s="1298">
        <v>133.71440000000001</v>
      </c>
      <c r="C1108" s="1298">
        <v>142.4144</v>
      </c>
      <c r="D1108" s="1349">
        <v>0.93891067195452149</v>
      </c>
      <c r="E1108" s="1178">
        <f t="shared" si="17"/>
        <v>3</v>
      </c>
    </row>
    <row r="1109" spans="1:5" ht="14.25">
      <c r="A1109" s="1298" t="s">
        <v>2370</v>
      </c>
      <c r="B1109" s="1298">
        <v>1.0329999999999999</v>
      </c>
      <c r="C1109" s="1298">
        <v>1.0329999999999999</v>
      </c>
      <c r="D1109" s="1349">
        <v>1</v>
      </c>
      <c r="E1109" s="1178">
        <f t="shared" si="17"/>
        <v>3</v>
      </c>
    </row>
    <row r="1110" spans="1:5" ht="14.25">
      <c r="A1110" s="1298" t="s">
        <v>2371</v>
      </c>
      <c r="B1110" s="1298">
        <v>217.00749999999999</v>
      </c>
      <c r="C1110" s="1298">
        <v>234.14920000000001</v>
      </c>
      <c r="D1110" s="1349">
        <v>0.92679155000316038</v>
      </c>
      <c r="E1110" s="1178">
        <f t="shared" si="17"/>
        <v>3</v>
      </c>
    </row>
    <row r="1111" spans="1:5" ht="14.25">
      <c r="A1111" s="1298" t="s">
        <v>2255</v>
      </c>
      <c r="B1111" s="1298">
        <v>20.3629</v>
      </c>
      <c r="C1111" s="1298">
        <v>23.1555</v>
      </c>
      <c r="D1111" s="1349">
        <v>0.87939798320053553</v>
      </c>
      <c r="E1111" s="1178">
        <f t="shared" si="17"/>
        <v>1.5</v>
      </c>
    </row>
    <row r="1112" spans="1:5" ht="14.25">
      <c r="A1112" s="1298" t="s">
        <v>2258</v>
      </c>
      <c r="B1112" s="1298">
        <v>16.71</v>
      </c>
      <c r="C1112" s="1298">
        <v>16.71</v>
      </c>
      <c r="D1112" s="1349">
        <v>1</v>
      </c>
      <c r="E1112" s="1178">
        <f t="shared" si="17"/>
        <v>3</v>
      </c>
    </row>
    <row r="1113" spans="1:5" ht="14.25">
      <c r="A1113" s="1298" t="s">
        <v>2257</v>
      </c>
      <c r="B1113" s="1298">
        <v>0.59799999999999998</v>
      </c>
      <c r="C1113" s="1298">
        <v>0.59799999999999998</v>
      </c>
      <c r="D1113" s="1349">
        <v>1</v>
      </c>
      <c r="E1113" s="1178">
        <f t="shared" si="17"/>
        <v>3</v>
      </c>
    </row>
    <row r="1114" spans="1:5" ht="14.25">
      <c r="A1114" s="1298" t="s">
        <v>2370</v>
      </c>
      <c r="B1114" s="1298">
        <v>0.4158</v>
      </c>
      <c r="C1114" s="1298">
        <v>0.4158</v>
      </c>
      <c r="D1114" s="1349">
        <v>1</v>
      </c>
      <c r="E1114" s="1178">
        <f t="shared" si="17"/>
        <v>3</v>
      </c>
    </row>
    <row r="1115" spans="1:5" ht="14.25">
      <c r="A1115" s="1298" t="s">
        <v>2371</v>
      </c>
      <c r="B1115" s="1298">
        <v>38.0867</v>
      </c>
      <c r="C1115" s="1298">
        <v>40.879300000000001</v>
      </c>
      <c r="D1115" s="1349">
        <v>0.93168669717925701</v>
      </c>
      <c r="E1115" s="1178">
        <f t="shared" si="17"/>
        <v>3</v>
      </c>
    </row>
    <row r="1116" spans="1:5" ht="14.25">
      <c r="A1116" s="1298" t="s">
        <v>2255</v>
      </c>
      <c r="B1116" s="1298">
        <v>49.4377</v>
      </c>
      <c r="C1116" s="1298">
        <v>55.921999999999997</v>
      </c>
      <c r="D1116" s="1349">
        <v>0.88404742319659524</v>
      </c>
      <c r="E1116" s="1178">
        <f t="shared" si="17"/>
        <v>1.5</v>
      </c>
    </row>
    <row r="1117" spans="1:5" ht="14.25">
      <c r="A1117" s="1298" t="s">
        <v>2370</v>
      </c>
      <c r="B1117" s="1298">
        <v>0.36659999999999998</v>
      </c>
      <c r="C1117" s="1298">
        <v>0.5554</v>
      </c>
      <c r="D1117" s="1349">
        <v>0.66006481814908169</v>
      </c>
      <c r="E1117" s="1178">
        <f t="shared" si="17"/>
        <v>0</v>
      </c>
    </row>
    <row r="1118" spans="1:5" ht="14.25">
      <c r="A1118" s="1298" t="s">
        <v>2371</v>
      </c>
      <c r="B1118" s="1298">
        <v>49.804299999999998</v>
      </c>
      <c r="C1118" s="1298">
        <v>56.477400000000003</v>
      </c>
      <c r="D1118" s="1349">
        <v>0.88184477330755306</v>
      </c>
      <c r="E1118" s="1178">
        <f t="shared" si="17"/>
        <v>1.5</v>
      </c>
    </row>
    <row r="1119" spans="1:5" ht="14.25">
      <c r="A1119" s="1298" t="s">
        <v>2255</v>
      </c>
      <c r="B1119" s="1298">
        <v>4.8296999999999999</v>
      </c>
      <c r="C1119" s="1298">
        <v>52.513199999999998</v>
      </c>
      <c r="D1119" s="1349">
        <v>9.1971161536527957E-2</v>
      </c>
      <c r="E1119" s="1178">
        <f t="shared" si="17"/>
        <v>0</v>
      </c>
    </row>
    <row r="1120" spans="1:5" ht="14.25">
      <c r="A1120" s="1298" t="s">
        <v>2371</v>
      </c>
      <c r="B1120" s="1298">
        <v>4.8296999999999999</v>
      </c>
      <c r="C1120" s="1298">
        <v>52.513199999999998</v>
      </c>
      <c r="D1120" s="1349">
        <v>9.1971161536527957E-2</v>
      </c>
      <c r="E1120" s="1178">
        <f t="shared" si="17"/>
        <v>0</v>
      </c>
    </row>
    <row r="1121" spans="1:5" ht="14.25">
      <c r="A1121" s="1298" t="s">
        <v>2255</v>
      </c>
      <c r="B1121" s="1298">
        <v>74.630300000000005</v>
      </c>
      <c r="C1121" s="1298">
        <v>131.5907</v>
      </c>
      <c r="D1121" s="1349">
        <v>0.56713962308886567</v>
      </c>
      <c r="E1121" s="1178">
        <f t="shared" si="17"/>
        <v>0</v>
      </c>
    </row>
    <row r="1122" spans="1:5" ht="14.25">
      <c r="A1122" s="1298" t="s">
        <v>2258</v>
      </c>
      <c r="B1122" s="1298">
        <v>16.71</v>
      </c>
      <c r="C1122" s="1298">
        <v>16.71</v>
      </c>
      <c r="D1122" s="1349">
        <v>1</v>
      </c>
      <c r="E1122" s="1178">
        <f t="shared" si="17"/>
        <v>3</v>
      </c>
    </row>
    <row r="1123" spans="1:5" ht="14.25">
      <c r="A1123" s="1298" t="s">
        <v>2257</v>
      </c>
      <c r="B1123" s="1298">
        <v>0.59799999999999998</v>
      </c>
      <c r="C1123" s="1298">
        <v>0.59799999999999998</v>
      </c>
      <c r="D1123" s="1349">
        <v>1</v>
      </c>
      <c r="E1123" s="1178">
        <f t="shared" si="17"/>
        <v>3</v>
      </c>
    </row>
    <row r="1124" spans="1:5" ht="14.25">
      <c r="A1124" s="1298" t="s">
        <v>2370</v>
      </c>
      <c r="B1124" s="1298">
        <v>0.78239999999999998</v>
      </c>
      <c r="C1124" s="1298">
        <v>0.97119999999999995</v>
      </c>
      <c r="D1124" s="1349">
        <v>0.80560131795716639</v>
      </c>
      <c r="E1124" s="1178">
        <f t="shared" si="17"/>
        <v>1.5</v>
      </c>
    </row>
    <row r="1125" spans="1:5" ht="14.25">
      <c r="A1125" s="1298" t="s">
        <v>2371</v>
      </c>
      <c r="B1125" s="1298">
        <v>92.720699999999994</v>
      </c>
      <c r="C1125" s="1298">
        <v>149.8699</v>
      </c>
      <c r="D1125" s="1349">
        <v>0.61867459710055184</v>
      </c>
      <c r="E1125" s="1178">
        <f t="shared" si="17"/>
        <v>0</v>
      </c>
    </row>
    <row r="1126" spans="1:5" ht="14.25">
      <c r="A1126" s="1298" t="s">
        <v>2255</v>
      </c>
      <c r="B1126" s="1298">
        <v>2399.2669999999998</v>
      </c>
      <c r="C1126" s="1298">
        <v>2730.7143000000001</v>
      </c>
      <c r="D1126" s="1349">
        <v>0.87862249082593513</v>
      </c>
      <c r="E1126" s="1178">
        <f t="shared" si="17"/>
        <v>1.5</v>
      </c>
    </row>
    <row r="1127" spans="1:5" ht="14.25">
      <c r="A1127" s="1298" t="s">
        <v>2258</v>
      </c>
      <c r="B1127" s="1298">
        <v>626.28189999999995</v>
      </c>
      <c r="C1127" s="1298">
        <v>685.52959999999996</v>
      </c>
      <c r="D1127" s="1349">
        <v>0.91357382671732923</v>
      </c>
      <c r="E1127" s="1178">
        <f t="shared" si="17"/>
        <v>3</v>
      </c>
    </row>
    <row r="1128" spans="1:5" ht="14.25">
      <c r="A1128" s="1298" t="s">
        <v>2257</v>
      </c>
      <c r="B1128" s="1298">
        <v>427.3544</v>
      </c>
      <c r="C1128" s="1298">
        <v>458.82889999999998</v>
      </c>
      <c r="D1128" s="1349">
        <v>0.93140253371136827</v>
      </c>
      <c r="E1128" s="1178">
        <f t="shared" si="17"/>
        <v>3</v>
      </c>
    </row>
    <row r="1129" spans="1:5" ht="14.25">
      <c r="A1129" s="1298" t="s">
        <v>2370</v>
      </c>
      <c r="B1129" s="1298">
        <v>38.583199999999998</v>
      </c>
      <c r="C1129" s="1298">
        <v>40.284799999999997</v>
      </c>
      <c r="D1129" s="1349">
        <v>0.95776074350623563</v>
      </c>
      <c r="E1129" s="1178">
        <f t="shared" si="17"/>
        <v>3</v>
      </c>
    </row>
    <row r="1130" spans="1:5" ht="14.25">
      <c r="A1130" s="1298" t="s">
        <v>2371</v>
      </c>
      <c r="B1130" s="1298">
        <v>3491.4865</v>
      </c>
      <c r="C1130" s="1298">
        <v>3915.3575999999998</v>
      </c>
      <c r="D1130" s="1349">
        <v>0.89174140824327264</v>
      </c>
      <c r="E1130" s="1178">
        <f t="shared" si="17"/>
        <v>1.5</v>
      </c>
    </row>
    <row r="1131" spans="1:5" ht="14.25">
      <c r="A1131" s="1298" t="s">
        <v>2255</v>
      </c>
      <c r="B1131" s="1298">
        <v>52.177</v>
      </c>
      <c r="C1131" s="1298">
        <v>54.877800000000001</v>
      </c>
      <c r="D1131" s="1349">
        <v>0.95078519911512482</v>
      </c>
      <c r="E1131" s="1178">
        <f t="shared" si="17"/>
        <v>3</v>
      </c>
    </row>
    <row r="1132" spans="1:5" ht="14.25">
      <c r="A1132" s="1298" t="s">
        <v>2258</v>
      </c>
      <c r="B1132" s="1298">
        <v>51.287199999999999</v>
      </c>
      <c r="C1132" s="1298">
        <v>53.677199999999999</v>
      </c>
      <c r="D1132" s="1349">
        <v>0.95547457766053367</v>
      </c>
      <c r="E1132" s="1178">
        <f t="shared" si="17"/>
        <v>3</v>
      </c>
    </row>
    <row r="1133" spans="1:5" ht="14.25">
      <c r="A1133" s="1298" t="s">
        <v>2257</v>
      </c>
      <c r="B1133" s="1298">
        <v>0.76700000000000002</v>
      </c>
      <c r="C1133" s="1298">
        <v>0.76700000000000002</v>
      </c>
      <c r="D1133" s="1349">
        <v>1</v>
      </c>
      <c r="E1133" s="1178">
        <f t="shared" si="17"/>
        <v>3</v>
      </c>
    </row>
    <row r="1134" spans="1:5" ht="14.25">
      <c r="A1134" s="1298" t="s">
        <v>2370</v>
      </c>
      <c r="B1134" s="1298">
        <v>0.79459999999999997</v>
      </c>
      <c r="C1134" s="1298">
        <v>0.79459999999999997</v>
      </c>
      <c r="D1134" s="1349">
        <v>1</v>
      </c>
      <c r="E1134" s="1178">
        <f t="shared" si="17"/>
        <v>3</v>
      </c>
    </row>
    <row r="1135" spans="1:5" ht="14.25">
      <c r="A1135" s="1298" t="s">
        <v>2371</v>
      </c>
      <c r="B1135" s="1298">
        <v>105.0258</v>
      </c>
      <c r="C1135" s="1298">
        <v>110.11660000000001</v>
      </c>
      <c r="D1135" s="1349">
        <v>0.95376900485485383</v>
      </c>
      <c r="E1135" s="1178">
        <f t="shared" si="17"/>
        <v>3</v>
      </c>
    </row>
    <row r="1136" spans="1:5" ht="14.25">
      <c r="A1136" s="1298" t="s">
        <v>2255</v>
      </c>
      <c r="B1136" s="1298">
        <v>294.9898</v>
      </c>
      <c r="C1136" s="1298">
        <v>305.05900000000003</v>
      </c>
      <c r="D1136" s="1349">
        <v>0.96699261454341623</v>
      </c>
      <c r="E1136" s="1178">
        <f t="shared" si="17"/>
        <v>3</v>
      </c>
    </row>
    <row r="1137" spans="1:5" ht="14.25">
      <c r="A1137" s="1298" t="s">
        <v>2257</v>
      </c>
      <c r="B1137" s="1298">
        <v>40.426200000000001</v>
      </c>
      <c r="C1137" s="1298">
        <v>40.426200000000001</v>
      </c>
      <c r="D1137" s="1349">
        <v>1</v>
      </c>
      <c r="E1137" s="1178">
        <f t="shared" si="17"/>
        <v>3</v>
      </c>
    </row>
    <row r="1138" spans="1:5" ht="14.25">
      <c r="A1138" s="1298" t="s">
        <v>2370</v>
      </c>
      <c r="B1138" s="1298">
        <v>2.5211999999999999</v>
      </c>
      <c r="C1138" s="1298">
        <v>2.5430999999999999</v>
      </c>
      <c r="D1138" s="1349">
        <v>0.99138846289961069</v>
      </c>
      <c r="E1138" s="1178">
        <f t="shared" si="17"/>
        <v>3</v>
      </c>
    </row>
    <row r="1139" spans="1:5" ht="14.25">
      <c r="A1139" s="1298" t="s">
        <v>2371</v>
      </c>
      <c r="B1139" s="1298">
        <v>337.93720000000002</v>
      </c>
      <c r="C1139" s="1298">
        <v>348.0283</v>
      </c>
      <c r="D1139" s="1349">
        <v>0.97100494413816352</v>
      </c>
      <c r="E1139" s="1178">
        <f t="shared" si="17"/>
        <v>3</v>
      </c>
    </row>
    <row r="1140" spans="1:5" ht="14.25">
      <c r="A1140" s="1298" t="s">
        <v>2255</v>
      </c>
      <c r="B1140" s="1298">
        <v>36.502800000000001</v>
      </c>
      <c r="C1140" s="1298">
        <v>38.3675</v>
      </c>
      <c r="D1140" s="1349">
        <v>0.95139897048283051</v>
      </c>
      <c r="E1140" s="1178">
        <f t="shared" si="17"/>
        <v>3</v>
      </c>
    </row>
    <row r="1141" spans="1:5" ht="14.25">
      <c r="A1141" s="1298" t="s">
        <v>2257</v>
      </c>
      <c r="B1141" s="1298">
        <v>2.2746</v>
      </c>
      <c r="C1141" s="1298">
        <v>2.2746</v>
      </c>
      <c r="D1141" s="1349">
        <v>1</v>
      </c>
      <c r="E1141" s="1178">
        <f t="shared" si="17"/>
        <v>3</v>
      </c>
    </row>
    <row r="1142" spans="1:5" ht="14.25">
      <c r="A1142" s="1298" t="s">
        <v>2370</v>
      </c>
      <c r="B1142" s="1298">
        <v>0.23810000000000001</v>
      </c>
      <c r="C1142" s="1298">
        <v>0.2349</v>
      </c>
      <c r="D1142" s="1349">
        <v>1</v>
      </c>
      <c r="E1142" s="1178">
        <f t="shared" si="17"/>
        <v>3</v>
      </c>
    </row>
    <row r="1143" spans="1:5" ht="14.25">
      <c r="A1143" s="1298" t="s">
        <v>2371</v>
      </c>
      <c r="B1143" s="1298">
        <v>39.015500000000003</v>
      </c>
      <c r="C1143" s="1298">
        <v>40.877000000000002</v>
      </c>
      <c r="D1143" s="1349">
        <v>0.95446094380703084</v>
      </c>
      <c r="E1143" s="1178">
        <f t="shared" si="17"/>
        <v>3</v>
      </c>
    </row>
    <row r="1144" spans="1:5" ht="14.25">
      <c r="A1144" s="1298" t="s">
        <v>2255</v>
      </c>
      <c r="B1144" s="1298">
        <v>12.348800000000001</v>
      </c>
      <c r="C1144" s="1298">
        <v>12.7699</v>
      </c>
      <c r="D1144" s="1349">
        <v>0.96702401741595467</v>
      </c>
      <c r="E1144" s="1178">
        <f t="shared" si="17"/>
        <v>3</v>
      </c>
    </row>
    <row r="1145" spans="1:5" ht="14.25">
      <c r="A1145" s="1298" t="s">
        <v>2258</v>
      </c>
      <c r="B1145" s="1298">
        <v>52.353099999999998</v>
      </c>
      <c r="C1145" s="1298">
        <v>52.990499999999997</v>
      </c>
      <c r="D1145" s="1349">
        <v>0.98797142884101863</v>
      </c>
      <c r="E1145" s="1178">
        <f t="shared" si="17"/>
        <v>3</v>
      </c>
    </row>
    <row r="1146" spans="1:5" ht="14.25">
      <c r="A1146" s="1298" t="s">
        <v>2257</v>
      </c>
      <c r="B1146" s="1298">
        <v>119.2929</v>
      </c>
      <c r="C1146" s="1298">
        <v>129.2705</v>
      </c>
      <c r="D1146" s="1349">
        <v>0.92281611040415257</v>
      </c>
      <c r="E1146" s="1178">
        <f t="shared" si="17"/>
        <v>3</v>
      </c>
    </row>
    <row r="1147" spans="1:5" ht="14.25">
      <c r="A1147" s="1298" t="s">
        <v>2370</v>
      </c>
      <c r="B1147" s="1298">
        <v>1.4069</v>
      </c>
      <c r="C1147" s="1298">
        <v>1.4069</v>
      </c>
      <c r="D1147" s="1349">
        <v>1</v>
      </c>
      <c r="E1147" s="1178">
        <f t="shared" si="17"/>
        <v>3</v>
      </c>
    </row>
    <row r="1148" spans="1:5" ht="14.25">
      <c r="A1148" s="1298" t="s">
        <v>2371</v>
      </c>
      <c r="B1148" s="1298">
        <v>185.40170000000001</v>
      </c>
      <c r="C1148" s="1298">
        <v>196.43780000000001</v>
      </c>
      <c r="D1148" s="1349">
        <v>0.94381885767403217</v>
      </c>
      <c r="E1148" s="1178">
        <f t="shared" si="17"/>
        <v>3</v>
      </c>
    </row>
    <row r="1149" spans="1:5" ht="14.25">
      <c r="A1149" s="1298" t="s">
        <v>2255</v>
      </c>
      <c r="B1149" s="1298">
        <v>66.298199999999994</v>
      </c>
      <c r="C1149" s="1298">
        <v>68.606099999999998</v>
      </c>
      <c r="D1149" s="1349">
        <v>0.96636013415716682</v>
      </c>
      <c r="E1149" s="1178">
        <f t="shared" si="17"/>
        <v>3</v>
      </c>
    </row>
    <row r="1150" spans="1:5" ht="14.25">
      <c r="A1150" s="1298" t="s">
        <v>2370</v>
      </c>
      <c r="B1150" s="1298">
        <v>0.29820000000000002</v>
      </c>
      <c r="C1150" s="1298">
        <v>0.29820000000000002</v>
      </c>
      <c r="D1150" s="1349">
        <v>1</v>
      </c>
      <c r="E1150" s="1178">
        <f t="shared" si="17"/>
        <v>3</v>
      </c>
    </row>
    <row r="1151" spans="1:5" ht="14.25">
      <c r="A1151" s="1298" t="s">
        <v>2371</v>
      </c>
      <c r="B1151" s="1298">
        <v>66.596400000000003</v>
      </c>
      <c r="C1151" s="1298">
        <v>68.904300000000006</v>
      </c>
      <c r="D1151" s="1349">
        <v>0.96650571880129399</v>
      </c>
      <c r="E1151" s="1178">
        <f t="shared" si="17"/>
        <v>3</v>
      </c>
    </row>
    <row r="1152" spans="1:5" ht="14.25">
      <c r="A1152" s="1298" t="s">
        <v>2255</v>
      </c>
      <c r="B1152" s="1298">
        <v>72.354399999999998</v>
      </c>
      <c r="C1152" s="1298">
        <v>74.404300000000006</v>
      </c>
      <c r="D1152" s="1349">
        <v>0.97244917296446576</v>
      </c>
      <c r="E1152" s="1178">
        <f t="shared" si="17"/>
        <v>3</v>
      </c>
    </row>
    <row r="1153" spans="1:5" ht="14.25">
      <c r="A1153" s="1298" t="s">
        <v>2371</v>
      </c>
      <c r="B1153" s="1298">
        <v>72.354399999999998</v>
      </c>
      <c r="C1153" s="1298">
        <v>74.404300000000006</v>
      </c>
      <c r="D1153" s="1349">
        <v>0.97244917296446576</v>
      </c>
      <c r="E1153" s="1178">
        <f t="shared" si="17"/>
        <v>3</v>
      </c>
    </row>
    <row r="1154" spans="1:5" ht="14.25">
      <c r="A1154" s="1298" t="s">
        <v>2255</v>
      </c>
      <c r="B1154" s="1298">
        <v>36.523400000000002</v>
      </c>
      <c r="C1154" s="1298">
        <v>39.333300000000001</v>
      </c>
      <c r="D1154" s="1349">
        <v>0.92856180386593545</v>
      </c>
      <c r="E1154" s="1178">
        <f t="shared" si="17"/>
        <v>3</v>
      </c>
    </row>
    <row r="1155" spans="1:5" ht="14.25">
      <c r="A1155" s="1298" t="s">
        <v>2370</v>
      </c>
      <c r="B1155" s="1298">
        <v>0.18</v>
      </c>
      <c r="C1155" s="1298">
        <v>0.18</v>
      </c>
      <c r="D1155" s="1349">
        <v>1</v>
      </c>
      <c r="E1155" s="1178">
        <f t="shared" ref="E1155:E1218" si="18">IF(D1155&gt;0.9,3,IF(D1155&gt;0.8,1.5,0))</f>
        <v>3</v>
      </c>
    </row>
    <row r="1156" spans="1:5" ht="14.25">
      <c r="A1156" s="1298" t="s">
        <v>2371</v>
      </c>
      <c r="B1156" s="1298">
        <v>36.703400000000002</v>
      </c>
      <c r="C1156" s="1298">
        <v>39.513300000000001</v>
      </c>
      <c r="D1156" s="1349">
        <v>0.92888723543718188</v>
      </c>
      <c r="E1156" s="1178">
        <f t="shared" si="18"/>
        <v>3</v>
      </c>
    </row>
    <row r="1157" spans="1:5" ht="14.25">
      <c r="A1157" s="1298" t="s">
        <v>2255</v>
      </c>
      <c r="B1157" s="1298">
        <v>10.375500000000001</v>
      </c>
      <c r="C1157" s="1298">
        <v>10.8085</v>
      </c>
      <c r="D1157" s="1349">
        <v>0.95993893694777255</v>
      </c>
      <c r="E1157" s="1178">
        <f t="shared" si="18"/>
        <v>3</v>
      </c>
    </row>
    <row r="1158" spans="1:5" ht="14.25">
      <c r="A1158" s="1298" t="s">
        <v>2371</v>
      </c>
      <c r="B1158" s="1298">
        <v>10.375500000000001</v>
      </c>
      <c r="C1158" s="1298">
        <v>10.8085</v>
      </c>
      <c r="D1158" s="1349">
        <v>0.95993893694777255</v>
      </c>
      <c r="E1158" s="1178">
        <f t="shared" si="18"/>
        <v>3</v>
      </c>
    </row>
    <row r="1159" spans="1:5" ht="14.25">
      <c r="A1159" s="1298" t="s">
        <v>2255</v>
      </c>
      <c r="B1159" s="1298">
        <v>11.5116</v>
      </c>
      <c r="C1159" s="1298">
        <v>11.4998</v>
      </c>
      <c r="D1159" s="1349">
        <v>1</v>
      </c>
      <c r="E1159" s="1178">
        <f t="shared" si="18"/>
        <v>3</v>
      </c>
    </row>
    <row r="1160" spans="1:5" ht="14.25">
      <c r="A1160" s="1298" t="s">
        <v>2370</v>
      </c>
      <c r="B1160" s="1298">
        <v>1.996</v>
      </c>
      <c r="C1160" s="1298">
        <v>1.9930000000000001</v>
      </c>
      <c r="D1160" s="1349">
        <v>1</v>
      </c>
      <c r="E1160" s="1178">
        <f t="shared" si="18"/>
        <v>3</v>
      </c>
    </row>
    <row r="1161" spans="1:5" ht="14.25">
      <c r="A1161" s="1298" t="s">
        <v>2371</v>
      </c>
      <c r="B1161" s="1298">
        <v>13.5076</v>
      </c>
      <c r="C1161" s="1298">
        <v>13.492800000000001</v>
      </c>
      <c r="D1161" s="1349">
        <v>1</v>
      </c>
      <c r="E1161" s="1178">
        <f t="shared" si="18"/>
        <v>3</v>
      </c>
    </row>
    <row r="1162" spans="1:5" ht="14.25">
      <c r="A1162" s="1298" t="s">
        <v>2255</v>
      </c>
      <c r="B1162" s="1298">
        <v>17.1294</v>
      </c>
      <c r="C1162" s="1298">
        <v>18.256</v>
      </c>
      <c r="D1162" s="1349">
        <v>0.93828878177037689</v>
      </c>
      <c r="E1162" s="1178">
        <f t="shared" si="18"/>
        <v>3</v>
      </c>
    </row>
    <row r="1163" spans="1:5" ht="14.25">
      <c r="A1163" s="1298" t="s">
        <v>2370</v>
      </c>
      <c r="B1163" s="1298">
        <v>0.78359999999999996</v>
      </c>
      <c r="C1163" s="1298">
        <v>0.78359999999999996</v>
      </c>
      <c r="D1163" s="1349">
        <v>1</v>
      </c>
      <c r="E1163" s="1178">
        <f t="shared" si="18"/>
        <v>3</v>
      </c>
    </row>
    <row r="1164" spans="1:5" ht="14.25">
      <c r="A1164" s="1298" t="s">
        <v>2371</v>
      </c>
      <c r="B1164" s="1298">
        <v>17.913</v>
      </c>
      <c r="C1164" s="1298">
        <v>19.0396</v>
      </c>
      <c r="D1164" s="1349">
        <v>0.94082858883589993</v>
      </c>
      <c r="E1164" s="1178">
        <f t="shared" si="18"/>
        <v>3</v>
      </c>
    </row>
    <row r="1165" spans="1:5" ht="14.25">
      <c r="A1165" s="1298" t="s">
        <v>2255</v>
      </c>
      <c r="B1165" s="1298">
        <v>28.2028</v>
      </c>
      <c r="C1165" s="1298">
        <v>28.9633</v>
      </c>
      <c r="D1165" s="1349">
        <v>0.97374263291821028</v>
      </c>
      <c r="E1165" s="1178">
        <f t="shared" si="18"/>
        <v>3</v>
      </c>
    </row>
    <row r="1166" spans="1:5" ht="14.25">
      <c r="A1166" s="1298" t="s">
        <v>2371</v>
      </c>
      <c r="B1166" s="1298">
        <v>28.2028</v>
      </c>
      <c r="C1166" s="1298">
        <v>28.9633</v>
      </c>
      <c r="D1166" s="1349">
        <v>0.97374263291821028</v>
      </c>
      <c r="E1166" s="1178">
        <f t="shared" si="18"/>
        <v>3</v>
      </c>
    </row>
    <row r="1167" spans="1:5" ht="14.25">
      <c r="A1167" s="1298" t="s">
        <v>2255</v>
      </c>
      <c r="B1167" s="1298">
        <v>10.2441</v>
      </c>
      <c r="C1167" s="1298">
        <v>13.582599999999999</v>
      </c>
      <c r="D1167" s="1349">
        <v>0.75420758912137587</v>
      </c>
      <c r="E1167" s="1178">
        <f t="shared" si="18"/>
        <v>0</v>
      </c>
    </row>
    <row r="1168" spans="1:5" ht="14.25">
      <c r="A1168" s="1298" t="s">
        <v>2371</v>
      </c>
      <c r="B1168" s="1298">
        <v>10.2441</v>
      </c>
      <c r="C1168" s="1298">
        <v>13.582599999999999</v>
      </c>
      <c r="D1168" s="1349">
        <v>0.75420758912137587</v>
      </c>
      <c r="E1168" s="1178">
        <f t="shared" si="18"/>
        <v>0</v>
      </c>
    </row>
    <row r="1169" spans="1:5" ht="14.25">
      <c r="A1169" s="1298" t="s">
        <v>2255</v>
      </c>
      <c r="B1169" s="1298">
        <v>264.98820000000001</v>
      </c>
      <c r="C1169" s="1298">
        <v>278.22379999999998</v>
      </c>
      <c r="D1169" s="1349">
        <v>0.9524282250476056</v>
      </c>
      <c r="E1169" s="1178">
        <f t="shared" si="18"/>
        <v>3</v>
      </c>
    </row>
    <row r="1170" spans="1:5" ht="14.25">
      <c r="A1170" s="1298" t="s">
        <v>2258</v>
      </c>
      <c r="B1170" s="1298">
        <v>52.353099999999998</v>
      </c>
      <c r="C1170" s="1298">
        <v>52.990499999999997</v>
      </c>
      <c r="D1170" s="1349">
        <v>0.98797142884101863</v>
      </c>
      <c r="E1170" s="1178">
        <f t="shared" si="18"/>
        <v>3</v>
      </c>
    </row>
    <row r="1171" spans="1:5" ht="14.25">
      <c r="A1171" s="1298" t="s">
        <v>2257</v>
      </c>
      <c r="B1171" s="1298">
        <v>119.2929</v>
      </c>
      <c r="C1171" s="1298">
        <v>129.2705</v>
      </c>
      <c r="D1171" s="1349">
        <v>0.92281611040415257</v>
      </c>
      <c r="E1171" s="1178">
        <f t="shared" si="18"/>
        <v>3</v>
      </c>
    </row>
    <row r="1172" spans="1:5" ht="14.25">
      <c r="A1172" s="1298" t="s">
        <v>2370</v>
      </c>
      <c r="B1172" s="1298">
        <v>4.6646999999999998</v>
      </c>
      <c r="C1172" s="1298">
        <v>4.6616999999999997</v>
      </c>
      <c r="D1172" s="1349">
        <v>1</v>
      </c>
      <c r="E1172" s="1178">
        <f t="shared" si="18"/>
        <v>3</v>
      </c>
    </row>
    <row r="1173" spans="1:5" ht="14.25">
      <c r="A1173" s="1298" t="s">
        <v>2371</v>
      </c>
      <c r="B1173" s="1298">
        <v>441.2989</v>
      </c>
      <c r="C1173" s="1298">
        <v>465.1465</v>
      </c>
      <c r="D1173" s="1349">
        <v>0.94873099120384652</v>
      </c>
      <c r="E1173" s="1178">
        <f t="shared" si="18"/>
        <v>3</v>
      </c>
    </row>
    <row r="1174" spans="1:5" ht="14.25">
      <c r="A1174" s="1298" t="s">
        <v>2255</v>
      </c>
      <c r="B1174" s="1298">
        <v>8.7662999999999993</v>
      </c>
      <c r="C1174" s="1298">
        <v>9.1523000000000003</v>
      </c>
      <c r="D1174" s="1349">
        <v>0.95782480906438816</v>
      </c>
      <c r="E1174" s="1178">
        <f t="shared" si="18"/>
        <v>3</v>
      </c>
    </row>
    <row r="1175" spans="1:5" ht="14.25">
      <c r="A1175" s="1298" t="s">
        <v>2258</v>
      </c>
      <c r="B1175" s="1298">
        <v>44.458199999999998</v>
      </c>
      <c r="C1175" s="1298">
        <v>45.504199999999997</v>
      </c>
      <c r="D1175" s="1349">
        <v>0.97701311087767717</v>
      </c>
      <c r="E1175" s="1178">
        <f t="shared" si="18"/>
        <v>3</v>
      </c>
    </row>
    <row r="1176" spans="1:5" ht="14.25">
      <c r="A1176" s="1298" t="s">
        <v>2257</v>
      </c>
      <c r="B1176" s="1298">
        <v>3.6292</v>
      </c>
      <c r="C1176" s="1298">
        <v>4.7591999999999999</v>
      </c>
      <c r="D1176" s="1349">
        <v>0.76256513699781481</v>
      </c>
      <c r="E1176" s="1178">
        <f t="shared" si="18"/>
        <v>0</v>
      </c>
    </row>
    <row r="1177" spans="1:5" ht="14.25">
      <c r="A1177" s="1298" t="s">
        <v>2370</v>
      </c>
      <c r="B1177" s="1298">
        <v>0.8115</v>
      </c>
      <c r="C1177" s="1298">
        <v>0.8115</v>
      </c>
      <c r="D1177" s="1349">
        <v>1</v>
      </c>
      <c r="E1177" s="1178">
        <f t="shared" si="18"/>
        <v>3</v>
      </c>
    </row>
    <row r="1178" spans="1:5" ht="14.25">
      <c r="A1178" s="1298" t="s">
        <v>2371</v>
      </c>
      <c r="B1178" s="1298">
        <v>57.665199999999999</v>
      </c>
      <c r="C1178" s="1298">
        <v>60.227200000000003</v>
      </c>
      <c r="D1178" s="1349">
        <v>0.95746108070772007</v>
      </c>
      <c r="E1178" s="1178">
        <f t="shared" si="18"/>
        <v>3</v>
      </c>
    </row>
    <row r="1179" spans="1:5" ht="14.25">
      <c r="A1179" s="1298" t="s">
        <v>2255</v>
      </c>
      <c r="B1179" s="1298">
        <v>20.793800000000001</v>
      </c>
      <c r="C1179" s="1298">
        <v>22.293299999999999</v>
      </c>
      <c r="D1179" s="1349">
        <v>0.93273763866273729</v>
      </c>
      <c r="E1179" s="1178">
        <f t="shared" si="18"/>
        <v>3</v>
      </c>
    </row>
    <row r="1180" spans="1:5" ht="14.25">
      <c r="A1180" s="1298" t="s">
        <v>2371</v>
      </c>
      <c r="B1180" s="1298">
        <v>20.793800000000001</v>
      </c>
      <c r="C1180" s="1298">
        <v>22.293299999999999</v>
      </c>
      <c r="D1180" s="1349">
        <v>0.93273763866273729</v>
      </c>
      <c r="E1180" s="1178">
        <f t="shared" si="18"/>
        <v>3</v>
      </c>
    </row>
    <row r="1181" spans="1:5" ht="14.25">
      <c r="A1181" s="1298" t="s">
        <v>2255</v>
      </c>
      <c r="B1181" s="1298">
        <v>32.701900000000002</v>
      </c>
      <c r="C1181" s="1298">
        <v>34.289099999999998</v>
      </c>
      <c r="D1181" s="1349">
        <v>0.95371123768194555</v>
      </c>
      <c r="E1181" s="1178">
        <f t="shared" si="18"/>
        <v>3</v>
      </c>
    </row>
    <row r="1182" spans="1:5" ht="14.25">
      <c r="A1182" s="1298" t="s">
        <v>2370</v>
      </c>
      <c r="B1182" s="1298">
        <v>0.5867</v>
      </c>
      <c r="C1182" s="1298">
        <v>0.57920000000000005</v>
      </c>
      <c r="D1182" s="1349">
        <v>1</v>
      </c>
      <c r="E1182" s="1178">
        <f t="shared" si="18"/>
        <v>3</v>
      </c>
    </row>
    <row r="1183" spans="1:5" ht="14.25">
      <c r="A1183" s="1298" t="s">
        <v>2371</v>
      </c>
      <c r="B1183" s="1298">
        <v>33.288600000000002</v>
      </c>
      <c r="C1183" s="1298">
        <v>34.868299999999998</v>
      </c>
      <c r="D1183" s="1349">
        <v>0.95469523894196162</v>
      </c>
      <c r="E1183" s="1178">
        <f t="shared" si="18"/>
        <v>3</v>
      </c>
    </row>
    <row r="1184" spans="1:5" ht="14.25">
      <c r="A1184" s="1298" t="s">
        <v>2255</v>
      </c>
      <c r="B1184" s="1298">
        <v>102.8437</v>
      </c>
      <c r="C1184" s="1298">
        <v>105.7445</v>
      </c>
      <c r="D1184" s="1349">
        <v>0.97256784040777533</v>
      </c>
      <c r="E1184" s="1178">
        <f t="shared" si="18"/>
        <v>3</v>
      </c>
    </row>
    <row r="1185" spans="1:5" ht="14.25">
      <c r="A1185" s="1298" t="s">
        <v>2371</v>
      </c>
      <c r="B1185" s="1298">
        <v>102.8437</v>
      </c>
      <c r="C1185" s="1298">
        <v>105.7445</v>
      </c>
      <c r="D1185" s="1349">
        <v>0.97256784040777533</v>
      </c>
      <c r="E1185" s="1178">
        <f t="shared" si="18"/>
        <v>3</v>
      </c>
    </row>
    <row r="1186" spans="1:5" ht="14.25">
      <c r="A1186" s="1298" t="s">
        <v>2255</v>
      </c>
      <c r="B1186" s="1298">
        <v>14.393000000000001</v>
      </c>
      <c r="C1186" s="1298">
        <v>14.3932</v>
      </c>
      <c r="D1186" s="1349">
        <v>0.99998610454937054</v>
      </c>
      <c r="E1186" s="1178">
        <f t="shared" si="18"/>
        <v>3</v>
      </c>
    </row>
    <row r="1187" spans="1:5" ht="14.25">
      <c r="A1187" s="1298" t="s">
        <v>2371</v>
      </c>
      <c r="B1187" s="1298">
        <v>14.393000000000001</v>
      </c>
      <c r="C1187" s="1298">
        <v>14.3932</v>
      </c>
      <c r="D1187" s="1349">
        <v>0.99998610454937054</v>
      </c>
      <c r="E1187" s="1178">
        <f t="shared" si="18"/>
        <v>3</v>
      </c>
    </row>
    <row r="1188" spans="1:5" ht="14.25">
      <c r="A1188" s="1298" t="s">
        <v>2255</v>
      </c>
      <c r="B1188" s="1298">
        <v>9.4865999999999993</v>
      </c>
      <c r="C1188" s="1298">
        <v>11.953200000000001</v>
      </c>
      <c r="D1188" s="1349">
        <v>0.79364521634374063</v>
      </c>
      <c r="E1188" s="1178">
        <f t="shared" si="18"/>
        <v>0</v>
      </c>
    </row>
    <row r="1189" spans="1:5" ht="14.25">
      <c r="A1189" s="1298" t="s">
        <v>2371</v>
      </c>
      <c r="B1189" s="1298">
        <v>9.4865999999999993</v>
      </c>
      <c r="C1189" s="1298">
        <v>11.953200000000001</v>
      </c>
      <c r="D1189" s="1349">
        <v>0.79364521634374063</v>
      </c>
      <c r="E1189" s="1178">
        <f t="shared" si="18"/>
        <v>0</v>
      </c>
    </row>
    <row r="1190" spans="1:5" ht="14.25">
      <c r="A1190" s="1298" t="s">
        <v>2255</v>
      </c>
      <c r="B1190" s="1298">
        <v>90.355099999999993</v>
      </c>
      <c r="C1190" s="1298">
        <v>97.877799999999993</v>
      </c>
      <c r="D1190" s="1349">
        <v>0.92314191777910826</v>
      </c>
      <c r="E1190" s="1178">
        <f t="shared" si="18"/>
        <v>3</v>
      </c>
    </row>
    <row r="1191" spans="1:5" ht="14.25">
      <c r="A1191" s="1298" t="s">
        <v>2371</v>
      </c>
      <c r="B1191" s="1298">
        <v>90.355099999999993</v>
      </c>
      <c r="C1191" s="1298">
        <v>97.877799999999993</v>
      </c>
      <c r="D1191" s="1349">
        <v>0.92314191777910826</v>
      </c>
      <c r="E1191" s="1178">
        <f t="shared" si="18"/>
        <v>3</v>
      </c>
    </row>
    <row r="1192" spans="1:5" ht="14.25">
      <c r="A1192" s="1298" t="s">
        <v>2255</v>
      </c>
      <c r="B1192" s="1298">
        <v>23.839200000000002</v>
      </c>
      <c r="C1192" s="1298">
        <v>24.100100000000001</v>
      </c>
      <c r="D1192" s="1349">
        <v>0.98917431877876028</v>
      </c>
      <c r="E1192" s="1178">
        <f t="shared" si="18"/>
        <v>3</v>
      </c>
    </row>
    <row r="1193" spans="1:5" ht="14.25">
      <c r="A1193" s="1298" t="s">
        <v>2371</v>
      </c>
      <c r="B1193" s="1298">
        <v>23.839200000000002</v>
      </c>
      <c r="C1193" s="1298">
        <v>24.100100000000001</v>
      </c>
      <c r="D1193" s="1349">
        <v>0.98917431877876028</v>
      </c>
      <c r="E1193" s="1178">
        <f t="shared" si="18"/>
        <v>3</v>
      </c>
    </row>
    <row r="1194" spans="1:5" ht="14.25">
      <c r="A1194" s="1298" t="s">
        <v>2255</v>
      </c>
      <c r="B1194" s="1298">
        <v>8.4300999999999995</v>
      </c>
      <c r="C1194" s="1298">
        <v>8.6189</v>
      </c>
      <c r="D1194" s="1349">
        <v>0.97809465244984861</v>
      </c>
      <c r="E1194" s="1178">
        <f t="shared" si="18"/>
        <v>3</v>
      </c>
    </row>
    <row r="1195" spans="1:5" ht="14.25">
      <c r="A1195" s="1298" t="s">
        <v>2371</v>
      </c>
      <c r="B1195" s="1298">
        <v>8.4300999999999995</v>
      </c>
      <c r="C1195" s="1298">
        <v>8.6189</v>
      </c>
      <c r="D1195" s="1349">
        <v>0.97809465244984861</v>
      </c>
      <c r="E1195" s="1178">
        <f t="shared" si="18"/>
        <v>3</v>
      </c>
    </row>
    <row r="1196" spans="1:5" ht="14.25">
      <c r="A1196" s="1298" t="s">
        <v>2255</v>
      </c>
      <c r="B1196" s="1298">
        <v>311.60969999999998</v>
      </c>
      <c r="C1196" s="1298">
        <v>328.42239999999998</v>
      </c>
      <c r="D1196" s="1349">
        <v>0.94880769399407594</v>
      </c>
      <c r="E1196" s="1178">
        <f t="shared" si="18"/>
        <v>3</v>
      </c>
    </row>
    <row r="1197" spans="1:5" ht="14.25">
      <c r="A1197" s="1298" t="s">
        <v>2258</v>
      </c>
      <c r="B1197" s="1298">
        <v>44.458199999999998</v>
      </c>
      <c r="C1197" s="1298">
        <v>45.504199999999997</v>
      </c>
      <c r="D1197" s="1349">
        <v>0.97701311087767717</v>
      </c>
      <c r="E1197" s="1178">
        <f t="shared" si="18"/>
        <v>3</v>
      </c>
    </row>
    <row r="1198" spans="1:5" ht="14.25">
      <c r="A1198" s="1298" t="s">
        <v>2257</v>
      </c>
      <c r="B1198" s="1298">
        <v>3.6292</v>
      </c>
      <c r="C1198" s="1298">
        <v>4.7591999999999999</v>
      </c>
      <c r="D1198" s="1349">
        <v>0.76256513699781481</v>
      </c>
      <c r="E1198" s="1178">
        <f t="shared" si="18"/>
        <v>0</v>
      </c>
    </row>
    <row r="1199" spans="1:5" ht="14.25">
      <c r="A1199" s="1298" t="s">
        <v>2370</v>
      </c>
      <c r="B1199" s="1298">
        <v>1.3982000000000001</v>
      </c>
      <c r="C1199" s="1298">
        <v>1.3907</v>
      </c>
      <c r="D1199" s="1349">
        <v>1</v>
      </c>
      <c r="E1199" s="1178">
        <f t="shared" si="18"/>
        <v>3</v>
      </c>
    </row>
    <row r="1200" spans="1:5" ht="14.25">
      <c r="A1200" s="1298" t="s">
        <v>2371</v>
      </c>
      <c r="B1200" s="1298">
        <v>361.09530000000001</v>
      </c>
      <c r="C1200" s="1298">
        <v>380.07650000000001</v>
      </c>
      <c r="D1200" s="1349">
        <v>0.95005952748986056</v>
      </c>
      <c r="E1200" s="1178">
        <f t="shared" si="18"/>
        <v>3</v>
      </c>
    </row>
    <row r="1201" spans="1:5" ht="14.25">
      <c r="A1201" s="1298" t="s">
        <v>2255</v>
      </c>
      <c r="B1201" s="1298">
        <v>104.9068</v>
      </c>
      <c r="C1201" s="1298">
        <v>106.8605</v>
      </c>
      <c r="D1201" s="1349">
        <v>0.98171728562003735</v>
      </c>
      <c r="E1201" s="1178">
        <f t="shared" si="18"/>
        <v>3</v>
      </c>
    </row>
    <row r="1202" spans="1:5" ht="14.25">
      <c r="A1202" s="1298" t="s">
        <v>2258</v>
      </c>
      <c r="B1202" s="1298">
        <v>66.183499999999995</v>
      </c>
      <c r="C1202" s="1298">
        <v>68.930099999999996</v>
      </c>
      <c r="D1202" s="1349">
        <v>0.96015383700299284</v>
      </c>
      <c r="E1202" s="1178">
        <f t="shared" si="18"/>
        <v>3</v>
      </c>
    </row>
    <row r="1203" spans="1:5" ht="14.25">
      <c r="A1203" s="1298" t="s">
        <v>2257</v>
      </c>
      <c r="B1203" s="1298">
        <v>8.7880000000000003</v>
      </c>
      <c r="C1203" s="1298">
        <v>9.3434000000000008</v>
      </c>
      <c r="D1203" s="1349">
        <v>0.94055697069589228</v>
      </c>
      <c r="E1203" s="1178">
        <f t="shared" si="18"/>
        <v>3</v>
      </c>
    </row>
    <row r="1204" spans="1:5" ht="14.25">
      <c r="A1204" s="1298" t="s">
        <v>2370</v>
      </c>
      <c r="B1204" s="1298">
        <v>1.2948999999999999</v>
      </c>
      <c r="C1204" s="1298">
        <v>1.6318999999999999</v>
      </c>
      <c r="D1204" s="1349">
        <v>0.79349224829952814</v>
      </c>
      <c r="E1204" s="1178">
        <f t="shared" si="18"/>
        <v>0</v>
      </c>
    </row>
    <row r="1205" spans="1:5" ht="14.25">
      <c r="A1205" s="1298" t="s">
        <v>2371</v>
      </c>
      <c r="B1205" s="1298">
        <v>181.17320000000001</v>
      </c>
      <c r="C1205" s="1298">
        <v>186.76589999999999</v>
      </c>
      <c r="D1205" s="1349">
        <v>0.97005502610487249</v>
      </c>
      <c r="E1205" s="1178">
        <f t="shared" si="18"/>
        <v>3</v>
      </c>
    </row>
    <row r="1206" spans="1:5" ht="14.25">
      <c r="A1206" s="1298" t="s">
        <v>2255</v>
      </c>
      <c r="B1206" s="1298">
        <v>4.7603</v>
      </c>
      <c r="C1206" s="1298">
        <v>6.3380999999999998</v>
      </c>
      <c r="D1206" s="1349">
        <v>0.75106104353039549</v>
      </c>
      <c r="E1206" s="1178">
        <f t="shared" si="18"/>
        <v>0</v>
      </c>
    </row>
    <row r="1207" spans="1:5" ht="14.25">
      <c r="A1207" s="1298" t="s">
        <v>2371</v>
      </c>
      <c r="B1207" s="1298">
        <v>4.7603</v>
      </c>
      <c r="C1207" s="1298">
        <v>6.3380999999999998</v>
      </c>
      <c r="D1207" s="1349">
        <v>0.75106104353039549</v>
      </c>
      <c r="E1207" s="1178">
        <f t="shared" si="18"/>
        <v>0</v>
      </c>
    </row>
    <row r="1208" spans="1:5" ht="14.25">
      <c r="A1208" s="1298" t="s">
        <v>2255</v>
      </c>
      <c r="B1208" s="1298">
        <v>45.373100000000001</v>
      </c>
      <c r="C1208" s="1298">
        <v>47.133600000000001</v>
      </c>
      <c r="D1208" s="1349">
        <v>0.96264872617410935</v>
      </c>
      <c r="E1208" s="1178">
        <f t="shared" si="18"/>
        <v>3</v>
      </c>
    </row>
    <row r="1209" spans="1:5" ht="14.25">
      <c r="A1209" s="1298" t="s">
        <v>2371</v>
      </c>
      <c r="B1209" s="1298">
        <v>45.373100000000001</v>
      </c>
      <c r="C1209" s="1298">
        <v>47.133600000000001</v>
      </c>
      <c r="D1209" s="1349">
        <v>0.96264872617410935</v>
      </c>
      <c r="E1209" s="1178">
        <f t="shared" si="18"/>
        <v>3</v>
      </c>
    </row>
    <row r="1210" spans="1:5" ht="14.25">
      <c r="A1210" s="1298" t="s">
        <v>2255</v>
      </c>
      <c r="B1210" s="1298">
        <v>27.7057</v>
      </c>
      <c r="C1210" s="1298">
        <v>28.736999999999998</v>
      </c>
      <c r="D1210" s="1349">
        <v>0.96411246824651142</v>
      </c>
      <c r="E1210" s="1178">
        <f t="shared" si="18"/>
        <v>3</v>
      </c>
    </row>
    <row r="1211" spans="1:5" ht="14.25">
      <c r="A1211" s="1298" t="s">
        <v>2257</v>
      </c>
      <c r="B1211" s="1298">
        <v>0.65620000000000001</v>
      </c>
      <c r="C1211" s="1298">
        <v>0.65620000000000001</v>
      </c>
      <c r="D1211" s="1349">
        <v>1</v>
      </c>
      <c r="E1211" s="1178">
        <f t="shared" si="18"/>
        <v>3</v>
      </c>
    </row>
    <row r="1212" spans="1:5" ht="14.25">
      <c r="A1212" s="1298" t="s">
        <v>2371</v>
      </c>
      <c r="B1212" s="1298">
        <v>28.361899999999999</v>
      </c>
      <c r="C1212" s="1298">
        <v>29.3932</v>
      </c>
      <c r="D1212" s="1349">
        <v>0.964913653498088</v>
      </c>
      <c r="E1212" s="1178">
        <f t="shared" si="18"/>
        <v>3</v>
      </c>
    </row>
    <row r="1213" spans="1:5" ht="14.25">
      <c r="A1213" s="1298" t="s">
        <v>2255</v>
      </c>
      <c r="B1213" s="1298">
        <v>3.9489999999999998</v>
      </c>
      <c r="C1213" s="1298">
        <v>4.2789000000000001</v>
      </c>
      <c r="D1213" s="1349">
        <v>0.92290074551870804</v>
      </c>
      <c r="E1213" s="1178">
        <f t="shared" si="18"/>
        <v>3</v>
      </c>
    </row>
    <row r="1214" spans="1:5" ht="14.25">
      <c r="A1214" s="1298" t="s">
        <v>2257</v>
      </c>
      <c r="B1214" s="1298">
        <v>1</v>
      </c>
      <c r="C1214" s="1298">
        <v>1</v>
      </c>
      <c r="D1214" s="1349">
        <v>1</v>
      </c>
      <c r="E1214" s="1178">
        <f t="shared" si="18"/>
        <v>3</v>
      </c>
    </row>
    <row r="1215" spans="1:5" ht="14.25">
      <c r="A1215" s="1298" t="s">
        <v>2371</v>
      </c>
      <c r="B1215" s="1298">
        <v>4.9489999999999998</v>
      </c>
      <c r="C1215" s="1298">
        <v>5.2789000000000001</v>
      </c>
      <c r="D1215" s="1349">
        <v>0.93750591979389641</v>
      </c>
      <c r="E1215" s="1178">
        <f t="shared" si="18"/>
        <v>3</v>
      </c>
    </row>
    <row r="1216" spans="1:5" ht="14.25">
      <c r="A1216" s="1298" t="s">
        <v>2255</v>
      </c>
      <c r="B1216" s="1298">
        <v>26.449200000000001</v>
      </c>
      <c r="C1216" s="1298">
        <v>28.253499999999999</v>
      </c>
      <c r="D1216" s="1349">
        <v>0.93613888544782065</v>
      </c>
      <c r="E1216" s="1178">
        <f t="shared" si="18"/>
        <v>3</v>
      </c>
    </row>
    <row r="1217" spans="1:5" ht="14.25">
      <c r="A1217" s="1298" t="s">
        <v>2371</v>
      </c>
      <c r="B1217" s="1298">
        <v>26.449200000000001</v>
      </c>
      <c r="C1217" s="1298">
        <v>28.253499999999999</v>
      </c>
      <c r="D1217" s="1349">
        <v>0.93613888544782065</v>
      </c>
      <c r="E1217" s="1178">
        <f t="shared" si="18"/>
        <v>3</v>
      </c>
    </row>
    <row r="1218" spans="1:5" ht="14.25">
      <c r="A1218" s="1298" t="s">
        <v>2255</v>
      </c>
      <c r="B1218" s="1298">
        <v>64.701599999999999</v>
      </c>
      <c r="C1218" s="1298">
        <v>66.421499999999995</v>
      </c>
      <c r="D1218" s="1349">
        <v>0.97410627582936249</v>
      </c>
      <c r="E1218" s="1178">
        <f t="shared" si="18"/>
        <v>3</v>
      </c>
    </row>
    <row r="1219" spans="1:5" ht="14.25">
      <c r="A1219" s="1298" t="s">
        <v>2371</v>
      </c>
      <c r="B1219" s="1298">
        <v>64.701599999999999</v>
      </c>
      <c r="C1219" s="1298">
        <v>66.421499999999995</v>
      </c>
      <c r="D1219" s="1349">
        <v>0.97410627582936249</v>
      </c>
      <c r="E1219" s="1178">
        <f t="shared" ref="E1219:E1282" si="19">IF(D1219&gt;0.9,3,IF(D1219&gt;0.8,1.5,0))</f>
        <v>3</v>
      </c>
    </row>
    <row r="1220" spans="1:5" ht="14.25">
      <c r="A1220" s="1298" t="s">
        <v>2255</v>
      </c>
      <c r="B1220" s="1298">
        <v>7.4096000000000002</v>
      </c>
      <c r="C1220" s="1298">
        <v>7.4526000000000003</v>
      </c>
      <c r="D1220" s="1349">
        <v>0.99423020154040198</v>
      </c>
      <c r="E1220" s="1178">
        <f t="shared" si="19"/>
        <v>3</v>
      </c>
    </row>
    <row r="1221" spans="1:5" ht="14.25">
      <c r="A1221" s="1298" t="s">
        <v>2370</v>
      </c>
      <c r="B1221" s="1298">
        <v>0.12989999999999999</v>
      </c>
      <c r="C1221" s="1298">
        <v>0.12989999999999999</v>
      </c>
      <c r="D1221" s="1349">
        <v>1</v>
      </c>
      <c r="E1221" s="1178">
        <f t="shared" si="19"/>
        <v>3</v>
      </c>
    </row>
    <row r="1222" spans="1:5" ht="14.25">
      <c r="A1222" s="1298" t="s">
        <v>2371</v>
      </c>
      <c r="B1222" s="1298">
        <v>7.5395000000000003</v>
      </c>
      <c r="C1222" s="1298">
        <v>7.5824999999999996</v>
      </c>
      <c r="D1222" s="1349">
        <v>0.99432904714803827</v>
      </c>
      <c r="E1222" s="1178">
        <f t="shared" si="19"/>
        <v>3</v>
      </c>
    </row>
    <row r="1223" spans="1:5" ht="14.25">
      <c r="A1223" s="1298" t="s">
        <v>2255</v>
      </c>
      <c r="B1223" s="1298">
        <v>285.25529999999998</v>
      </c>
      <c r="C1223" s="1298">
        <v>295.47570000000002</v>
      </c>
      <c r="D1223" s="1349">
        <v>0.9654103535417633</v>
      </c>
      <c r="E1223" s="1178">
        <f t="shared" si="19"/>
        <v>3</v>
      </c>
    </row>
    <row r="1224" spans="1:5" ht="14.25">
      <c r="A1224" s="1298" t="s">
        <v>2258</v>
      </c>
      <c r="B1224" s="1298">
        <v>66.183499999999995</v>
      </c>
      <c r="C1224" s="1298">
        <v>68.930099999999996</v>
      </c>
      <c r="D1224" s="1349">
        <v>0.96015383700299284</v>
      </c>
      <c r="E1224" s="1178">
        <f t="shared" si="19"/>
        <v>3</v>
      </c>
    </row>
    <row r="1225" spans="1:5" ht="14.25">
      <c r="A1225" s="1298" t="s">
        <v>2257</v>
      </c>
      <c r="B1225" s="1298">
        <v>10.4442</v>
      </c>
      <c r="C1225" s="1298">
        <v>10.999599999999999</v>
      </c>
      <c r="D1225" s="1349">
        <v>0.94950725480926579</v>
      </c>
      <c r="E1225" s="1178">
        <f t="shared" si="19"/>
        <v>3</v>
      </c>
    </row>
    <row r="1226" spans="1:5" ht="14.25">
      <c r="A1226" s="1298" t="s">
        <v>2370</v>
      </c>
      <c r="B1226" s="1298">
        <v>1.4248000000000001</v>
      </c>
      <c r="C1226" s="1298">
        <v>1.7618</v>
      </c>
      <c r="D1226" s="1349">
        <v>0.8087183562265865</v>
      </c>
      <c r="E1226" s="1178">
        <f t="shared" si="19"/>
        <v>1.5</v>
      </c>
    </row>
    <row r="1227" spans="1:5" ht="14.25">
      <c r="A1227" s="1298" t="s">
        <v>2371</v>
      </c>
      <c r="B1227" s="1298">
        <v>363.30779999999999</v>
      </c>
      <c r="C1227" s="1298">
        <v>377.16719999999998</v>
      </c>
      <c r="D1227" s="1349">
        <v>0.96325396269877128</v>
      </c>
      <c r="E1227" s="1178">
        <f t="shared" si="19"/>
        <v>3</v>
      </c>
    </row>
    <row r="1228" spans="1:5" ht="14.25">
      <c r="A1228" s="1298" t="s">
        <v>2255</v>
      </c>
      <c r="B1228" s="1298">
        <v>21.741700000000002</v>
      </c>
      <c r="C1228" s="1298">
        <v>21.734400000000001</v>
      </c>
      <c r="D1228" s="1349">
        <v>1</v>
      </c>
      <c r="E1228" s="1178">
        <f t="shared" si="19"/>
        <v>3</v>
      </c>
    </row>
    <row r="1229" spans="1:5" ht="14.25">
      <c r="A1229" s="1298" t="s">
        <v>2257</v>
      </c>
      <c r="B1229" s="1298">
        <v>17.332100000000001</v>
      </c>
      <c r="C1229" s="1298">
        <v>17.332100000000001</v>
      </c>
      <c r="D1229" s="1349">
        <v>1</v>
      </c>
      <c r="E1229" s="1178">
        <f t="shared" si="19"/>
        <v>3</v>
      </c>
    </row>
    <row r="1230" spans="1:5" ht="14.25">
      <c r="A1230" s="1298" t="s">
        <v>2370</v>
      </c>
      <c r="B1230" s="1298">
        <v>2.2389000000000001</v>
      </c>
      <c r="C1230" s="1298">
        <v>2.2389000000000001</v>
      </c>
      <c r="D1230" s="1349">
        <v>1</v>
      </c>
      <c r="E1230" s="1178">
        <f t="shared" si="19"/>
        <v>3</v>
      </c>
    </row>
    <row r="1231" spans="1:5" ht="14.25">
      <c r="A1231" s="1298" t="s">
        <v>2371</v>
      </c>
      <c r="B1231" s="1298">
        <v>41.3127</v>
      </c>
      <c r="C1231" s="1298">
        <v>41.305399999999999</v>
      </c>
      <c r="D1231" s="1349">
        <v>1</v>
      </c>
      <c r="E1231" s="1178">
        <f t="shared" si="19"/>
        <v>3</v>
      </c>
    </row>
    <row r="1232" spans="1:5" ht="14.25">
      <c r="A1232" s="1298" t="s">
        <v>2255</v>
      </c>
      <c r="B1232" s="1298">
        <v>29.2151</v>
      </c>
      <c r="C1232" s="1298">
        <v>30.805099999999999</v>
      </c>
      <c r="D1232" s="1349">
        <v>0.94838516998808642</v>
      </c>
      <c r="E1232" s="1178">
        <f t="shared" si="19"/>
        <v>3</v>
      </c>
    </row>
    <row r="1233" spans="1:5" ht="14.25">
      <c r="A1233" s="1298" t="s">
        <v>2370</v>
      </c>
      <c r="B1233" s="1298">
        <v>0.1232</v>
      </c>
      <c r="C1233" s="1298">
        <v>0.1232</v>
      </c>
      <c r="D1233" s="1349">
        <v>1</v>
      </c>
      <c r="E1233" s="1178">
        <f t="shared" si="19"/>
        <v>3</v>
      </c>
    </row>
    <row r="1234" spans="1:5" ht="14.25">
      <c r="A1234" s="1298" t="s">
        <v>2371</v>
      </c>
      <c r="B1234" s="1298">
        <v>29.3383</v>
      </c>
      <c r="C1234" s="1298">
        <v>30.9283</v>
      </c>
      <c r="D1234" s="1349">
        <v>0.94859077285204807</v>
      </c>
      <c r="E1234" s="1178">
        <f t="shared" si="19"/>
        <v>3</v>
      </c>
    </row>
    <row r="1235" spans="1:5" ht="14.25">
      <c r="A1235" s="1298" t="s">
        <v>2255</v>
      </c>
      <c r="B1235" s="1298">
        <v>23.286300000000001</v>
      </c>
      <c r="C1235" s="1298">
        <v>25.401299999999999</v>
      </c>
      <c r="D1235" s="1349">
        <v>0.91673654497998136</v>
      </c>
      <c r="E1235" s="1178">
        <f t="shared" si="19"/>
        <v>3</v>
      </c>
    </row>
    <row r="1236" spans="1:5" ht="14.25">
      <c r="A1236" s="1298" t="s">
        <v>2371</v>
      </c>
      <c r="B1236" s="1298">
        <v>23.286300000000001</v>
      </c>
      <c r="C1236" s="1298">
        <v>25.401299999999999</v>
      </c>
      <c r="D1236" s="1349">
        <v>0.91673654497998136</v>
      </c>
      <c r="E1236" s="1178">
        <f t="shared" si="19"/>
        <v>3</v>
      </c>
    </row>
    <row r="1237" spans="1:5" ht="14.25">
      <c r="A1237" s="1298" t="s">
        <v>2255</v>
      </c>
      <c r="B1237" s="1298">
        <v>74.243099999999998</v>
      </c>
      <c r="C1237" s="1298">
        <v>77.940799999999996</v>
      </c>
      <c r="D1237" s="1349">
        <v>0.95255758216492514</v>
      </c>
      <c r="E1237" s="1178">
        <f t="shared" si="19"/>
        <v>3</v>
      </c>
    </row>
    <row r="1238" spans="1:5" ht="14.25">
      <c r="A1238" s="1298" t="s">
        <v>2257</v>
      </c>
      <c r="B1238" s="1298">
        <v>17.332100000000001</v>
      </c>
      <c r="C1238" s="1298">
        <v>17.332100000000001</v>
      </c>
      <c r="D1238" s="1349">
        <v>1</v>
      </c>
      <c r="E1238" s="1178">
        <f t="shared" si="19"/>
        <v>3</v>
      </c>
    </row>
    <row r="1239" spans="1:5" ht="14.25">
      <c r="A1239" s="1298" t="s">
        <v>2370</v>
      </c>
      <c r="B1239" s="1298">
        <v>2.3620999999999999</v>
      </c>
      <c r="C1239" s="1298">
        <v>2.3620999999999999</v>
      </c>
      <c r="D1239" s="1349">
        <v>1</v>
      </c>
      <c r="E1239" s="1178">
        <f t="shared" si="19"/>
        <v>3</v>
      </c>
    </row>
    <row r="1240" spans="1:5" ht="14.25">
      <c r="A1240" s="1298" t="s">
        <v>2371</v>
      </c>
      <c r="B1240" s="1298">
        <v>93.937299999999993</v>
      </c>
      <c r="C1240" s="1298">
        <v>97.635000000000005</v>
      </c>
      <c r="D1240" s="1349">
        <v>0.96212731090285242</v>
      </c>
      <c r="E1240" s="1178">
        <f t="shared" si="19"/>
        <v>3</v>
      </c>
    </row>
    <row r="1241" spans="1:5" ht="14.25">
      <c r="A1241" s="1298" t="s">
        <v>2255</v>
      </c>
      <c r="B1241" s="1298">
        <v>118.14015900000001</v>
      </c>
      <c r="C1241" s="1298">
        <v>122.0925</v>
      </c>
      <c r="D1241" s="1349">
        <v>0.96762830640702757</v>
      </c>
      <c r="E1241" s="1178">
        <f t="shared" si="19"/>
        <v>3</v>
      </c>
    </row>
    <row r="1242" spans="1:5" ht="14.25">
      <c r="A1242" s="1298" t="s">
        <v>2258</v>
      </c>
      <c r="B1242" s="1298">
        <v>12.891999999999999</v>
      </c>
      <c r="C1242" s="1298">
        <v>13.4541</v>
      </c>
      <c r="D1242" s="1349">
        <v>0.95822091407080368</v>
      </c>
      <c r="E1242" s="1178">
        <f t="shared" si="19"/>
        <v>3</v>
      </c>
    </row>
    <row r="1243" spans="1:5" ht="14.25">
      <c r="A1243" s="1298" t="s">
        <v>2257</v>
      </c>
      <c r="B1243" s="1298">
        <v>208.23</v>
      </c>
      <c r="C1243" s="1298">
        <v>213.61879999999999</v>
      </c>
      <c r="D1243" s="1349">
        <v>0.97477375586792925</v>
      </c>
      <c r="E1243" s="1178">
        <f t="shared" si="19"/>
        <v>3</v>
      </c>
    </row>
    <row r="1244" spans="1:5" ht="14.25">
      <c r="A1244" s="1298" t="s">
        <v>2370</v>
      </c>
      <c r="B1244" s="1298">
        <v>1.3585</v>
      </c>
      <c r="C1244" s="1298">
        <v>1.3601000000000001</v>
      </c>
      <c r="D1244" s="1349">
        <v>0.99882361591059476</v>
      </c>
      <c r="E1244" s="1178">
        <f t="shared" si="19"/>
        <v>3</v>
      </c>
    </row>
    <row r="1245" spans="1:5" ht="14.25">
      <c r="A1245" s="1298" t="s">
        <v>2371</v>
      </c>
      <c r="B1245" s="1298">
        <v>340.62065899999999</v>
      </c>
      <c r="C1245" s="1298">
        <v>350.52550000000002</v>
      </c>
      <c r="D1245" s="1349">
        <v>0.97174288033252931</v>
      </c>
      <c r="E1245" s="1178">
        <f t="shared" si="19"/>
        <v>3</v>
      </c>
    </row>
    <row r="1246" spans="1:5" ht="14.25">
      <c r="A1246" s="1298" t="s">
        <v>2255</v>
      </c>
      <c r="B1246" s="1298">
        <v>31.4619</v>
      </c>
      <c r="C1246" s="1298">
        <v>32.606999999999999</v>
      </c>
      <c r="D1246" s="1349">
        <v>0.96488177385224028</v>
      </c>
      <c r="E1246" s="1178">
        <f t="shared" si="19"/>
        <v>3</v>
      </c>
    </row>
    <row r="1247" spans="1:5" ht="14.25">
      <c r="A1247" s="1298" t="s">
        <v>2257</v>
      </c>
      <c r="B1247" s="1298">
        <v>36.5246</v>
      </c>
      <c r="C1247" s="1298">
        <v>36.891199999999998</v>
      </c>
      <c r="D1247" s="1349">
        <v>0.99006267077243348</v>
      </c>
      <c r="E1247" s="1178">
        <f t="shared" si="19"/>
        <v>3</v>
      </c>
    </row>
    <row r="1248" spans="1:5" ht="14.25">
      <c r="A1248" s="1298" t="s">
        <v>2371</v>
      </c>
      <c r="B1248" s="1298">
        <v>67.986500000000007</v>
      </c>
      <c r="C1248" s="1298">
        <v>69.498199999999997</v>
      </c>
      <c r="D1248" s="1349">
        <v>0.97824835751141759</v>
      </c>
      <c r="E1248" s="1178">
        <f t="shared" si="19"/>
        <v>3</v>
      </c>
    </row>
    <row r="1249" spans="1:5" ht="14.25">
      <c r="A1249" s="1298" t="s">
        <v>2255</v>
      </c>
      <c r="B1249" s="1298">
        <v>18.283200000000001</v>
      </c>
      <c r="C1249" s="1298">
        <v>20.102900000000002</v>
      </c>
      <c r="D1249" s="1349">
        <v>0.90948072168692085</v>
      </c>
      <c r="E1249" s="1178">
        <f t="shared" si="19"/>
        <v>3</v>
      </c>
    </row>
    <row r="1250" spans="1:5" ht="14.25">
      <c r="A1250" s="1298" t="s">
        <v>2371</v>
      </c>
      <c r="B1250" s="1298">
        <v>18.283200000000001</v>
      </c>
      <c r="C1250" s="1298">
        <v>20.102900000000002</v>
      </c>
      <c r="D1250" s="1349">
        <v>0.90948072168692085</v>
      </c>
      <c r="E1250" s="1178">
        <f t="shared" si="19"/>
        <v>3</v>
      </c>
    </row>
    <row r="1251" spans="1:5" ht="14.25">
      <c r="A1251" s="1298" t="s">
        <v>2255</v>
      </c>
      <c r="B1251" s="1298">
        <v>41.883800000000001</v>
      </c>
      <c r="C1251" s="1298">
        <v>46.828400000000002</v>
      </c>
      <c r="D1251" s="1349">
        <v>0.89441022968967554</v>
      </c>
      <c r="E1251" s="1178">
        <f t="shared" si="19"/>
        <v>1.5</v>
      </c>
    </row>
    <row r="1252" spans="1:5" ht="14.25">
      <c r="A1252" s="1298" t="s">
        <v>2371</v>
      </c>
      <c r="B1252" s="1298">
        <v>41.883800000000001</v>
      </c>
      <c r="C1252" s="1298">
        <v>46.828400000000002</v>
      </c>
      <c r="D1252" s="1349">
        <v>0.89441022968967554</v>
      </c>
      <c r="E1252" s="1178">
        <f t="shared" si="19"/>
        <v>1.5</v>
      </c>
    </row>
    <row r="1253" spans="1:5" ht="14.25">
      <c r="A1253" s="1298" t="s">
        <v>2255</v>
      </c>
      <c r="B1253" s="1298">
        <v>4.6359000000000004</v>
      </c>
      <c r="C1253" s="1298">
        <v>4.6181999999999999</v>
      </c>
      <c r="D1253" s="1349">
        <v>1</v>
      </c>
      <c r="E1253" s="1178">
        <f t="shared" si="19"/>
        <v>3</v>
      </c>
    </row>
    <row r="1254" spans="1:5" ht="14.25">
      <c r="A1254" s="1298" t="s">
        <v>2371</v>
      </c>
      <c r="B1254" s="1298">
        <v>4.6359000000000004</v>
      </c>
      <c r="C1254" s="1298">
        <v>4.6181999999999999</v>
      </c>
      <c r="D1254" s="1349">
        <v>1</v>
      </c>
      <c r="E1254" s="1178">
        <f t="shared" si="19"/>
        <v>3</v>
      </c>
    </row>
    <row r="1255" spans="1:5" ht="14.25">
      <c r="A1255" s="1298" t="s">
        <v>2255</v>
      </c>
      <c r="B1255" s="1298">
        <v>214.40495899999999</v>
      </c>
      <c r="C1255" s="1298">
        <v>226.249</v>
      </c>
      <c r="D1255" s="1349">
        <v>0.9476504161344359</v>
      </c>
      <c r="E1255" s="1178">
        <f t="shared" si="19"/>
        <v>3</v>
      </c>
    </row>
    <row r="1256" spans="1:5" ht="14.25">
      <c r="A1256" s="1298" t="s">
        <v>2258</v>
      </c>
      <c r="B1256" s="1298">
        <v>12.891999999999999</v>
      </c>
      <c r="C1256" s="1298">
        <v>13.4541</v>
      </c>
      <c r="D1256" s="1349">
        <v>0.95822091407080368</v>
      </c>
      <c r="E1256" s="1178">
        <f t="shared" si="19"/>
        <v>3</v>
      </c>
    </row>
    <row r="1257" spans="1:5" ht="14.25">
      <c r="A1257" s="1298" t="s">
        <v>2257</v>
      </c>
      <c r="B1257" s="1298">
        <v>244.75460000000001</v>
      </c>
      <c r="C1257" s="1298">
        <v>250.51</v>
      </c>
      <c r="D1257" s="1349">
        <v>0.97702526845235715</v>
      </c>
      <c r="E1257" s="1178">
        <f t="shared" si="19"/>
        <v>3</v>
      </c>
    </row>
    <row r="1258" spans="1:5" ht="14.25">
      <c r="A1258" s="1298" t="s">
        <v>2370</v>
      </c>
      <c r="B1258" s="1298">
        <v>1.3585</v>
      </c>
      <c r="C1258" s="1298">
        <v>1.3601000000000001</v>
      </c>
      <c r="D1258" s="1349">
        <v>0.99882361591059476</v>
      </c>
      <c r="E1258" s="1178">
        <f t="shared" si="19"/>
        <v>3</v>
      </c>
    </row>
    <row r="1259" spans="1:5" ht="14.25">
      <c r="A1259" s="1298" t="s">
        <v>2371</v>
      </c>
      <c r="B1259" s="1298">
        <v>473.41005899999999</v>
      </c>
      <c r="C1259" s="1298">
        <v>491.57319999999999</v>
      </c>
      <c r="D1259" s="1349">
        <v>0.96305099423646368</v>
      </c>
      <c r="E1259" s="1178">
        <f t="shared" si="19"/>
        <v>3</v>
      </c>
    </row>
    <row r="1260" spans="1:5" ht="14.25">
      <c r="A1260" s="1298" t="s">
        <v>2255</v>
      </c>
      <c r="B1260" s="1298">
        <v>77.322000000000003</v>
      </c>
      <c r="C1260" s="1298">
        <v>84.250500000000002</v>
      </c>
      <c r="D1260" s="1349">
        <v>0.91776309932878741</v>
      </c>
      <c r="E1260" s="1178">
        <f t="shared" si="19"/>
        <v>3</v>
      </c>
    </row>
    <row r="1261" spans="1:5" ht="14.25">
      <c r="A1261" s="1298" t="s">
        <v>2257</v>
      </c>
      <c r="B1261" s="1298">
        <v>106.6345</v>
      </c>
      <c r="C1261" s="1298">
        <v>110.6345</v>
      </c>
      <c r="D1261" s="1349">
        <v>0.96384491275325512</v>
      </c>
      <c r="E1261" s="1178">
        <f t="shared" si="19"/>
        <v>3</v>
      </c>
    </row>
    <row r="1262" spans="1:5" ht="14.25">
      <c r="A1262" s="1298" t="s">
        <v>2370</v>
      </c>
      <c r="B1262" s="1298">
        <v>1.4852000000000001</v>
      </c>
      <c r="C1262" s="1298">
        <v>1.4852000000000001</v>
      </c>
      <c r="D1262" s="1349">
        <v>1</v>
      </c>
      <c r="E1262" s="1178">
        <f t="shared" si="19"/>
        <v>3</v>
      </c>
    </row>
    <row r="1263" spans="1:5" ht="14.25">
      <c r="A1263" s="1298" t="s">
        <v>2371</v>
      </c>
      <c r="B1263" s="1298">
        <v>185.4417</v>
      </c>
      <c r="C1263" s="1298">
        <v>196.37020000000001</v>
      </c>
      <c r="D1263" s="1349">
        <v>0.94434746208946163</v>
      </c>
      <c r="E1263" s="1178">
        <f t="shared" si="19"/>
        <v>3</v>
      </c>
    </row>
    <row r="1264" spans="1:5" ht="14.25">
      <c r="A1264" s="1298" t="s">
        <v>2255</v>
      </c>
      <c r="B1264" s="1298">
        <v>21.0381</v>
      </c>
      <c r="C1264" s="1298">
        <v>21.040600000000001</v>
      </c>
      <c r="D1264" s="1349">
        <v>0.99988118209556764</v>
      </c>
      <c r="E1264" s="1178">
        <f t="shared" si="19"/>
        <v>3</v>
      </c>
    </row>
    <row r="1265" spans="1:5" ht="14.25">
      <c r="A1265" s="1298" t="s">
        <v>2257</v>
      </c>
      <c r="B1265" s="1298">
        <v>1.4061999999999999</v>
      </c>
      <c r="C1265" s="1298">
        <v>1.4061999999999999</v>
      </c>
      <c r="D1265" s="1349">
        <v>1</v>
      </c>
      <c r="E1265" s="1178">
        <f t="shared" si="19"/>
        <v>3</v>
      </c>
    </row>
    <row r="1266" spans="1:5" ht="14.25">
      <c r="A1266" s="1298" t="s">
        <v>2370</v>
      </c>
      <c r="B1266" s="1298">
        <v>0.25309999999999999</v>
      </c>
      <c r="C1266" s="1298">
        <v>0.25309999999999999</v>
      </c>
      <c r="D1266" s="1349">
        <v>1</v>
      </c>
      <c r="E1266" s="1178">
        <f t="shared" si="19"/>
        <v>3</v>
      </c>
    </row>
    <row r="1267" spans="1:5" ht="14.25">
      <c r="A1267" s="1298" t="s">
        <v>2371</v>
      </c>
      <c r="B1267" s="1298">
        <v>22.697399999999998</v>
      </c>
      <c r="C1267" s="1298">
        <v>22.6999</v>
      </c>
      <c r="D1267" s="1349">
        <v>0.99988986735624386</v>
      </c>
      <c r="E1267" s="1178">
        <f t="shared" si="19"/>
        <v>3</v>
      </c>
    </row>
    <row r="1268" spans="1:5" ht="14.25">
      <c r="A1268" s="1298" t="s">
        <v>2255</v>
      </c>
      <c r="B1268" s="1298">
        <v>37.518500000000003</v>
      </c>
      <c r="C1268" s="1298">
        <v>39.822899999999997</v>
      </c>
      <c r="D1268" s="1349">
        <v>0.94213379738793512</v>
      </c>
      <c r="E1268" s="1178">
        <f t="shared" si="19"/>
        <v>3</v>
      </c>
    </row>
    <row r="1269" spans="1:5" ht="14.25">
      <c r="A1269" s="1298" t="s">
        <v>2257</v>
      </c>
      <c r="B1269" s="1298">
        <v>0.68740000000000001</v>
      </c>
      <c r="C1269" s="1298">
        <v>0.68740000000000001</v>
      </c>
      <c r="D1269" s="1349">
        <v>1</v>
      </c>
      <c r="E1269" s="1178">
        <f t="shared" si="19"/>
        <v>3</v>
      </c>
    </row>
    <row r="1270" spans="1:5" ht="14.25">
      <c r="A1270" s="1298" t="s">
        <v>2371</v>
      </c>
      <c r="B1270" s="1298">
        <v>38.2059</v>
      </c>
      <c r="C1270" s="1298">
        <v>40.510300000000001</v>
      </c>
      <c r="D1270" s="1349">
        <v>0.94311570143889334</v>
      </c>
      <c r="E1270" s="1178">
        <f t="shared" si="19"/>
        <v>3</v>
      </c>
    </row>
    <row r="1271" spans="1:5" ht="14.25">
      <c r="A1271" s="1298" t="s">
        <v>2255</v>
      </c>
      <c r="B1271" s="1298">
        <v>58.556600000000003</v>
      </c>
      <c r="C1271" s="1298">
        <v>60.863500000000002</v>
      </c>
      <c r="D1271" s="1349">
        <v>0.96209715182334243</v>
      </c>
      <c r="E1271" s="1178">
        <f t="shared" si="19"/>
        <v>3</v>
      </c>
    </row>
    <row r="1272" spans="1:5" ht="14.25">
      <c r="A1272" s="1298" t="s">
        <v>2257</v>
      </c>
      <c r="B1272" s="1298">
        <v>2.0935999999999999</v>
      </c>
      <c r="C1272" s="1298">
        <v>2.0935999999999999</v>
      </c>
      <c r="D1272" s="1349">
        <v>1</v>
      </c>
      <c r="E1272" s="1178">
        <f t="shared" si="19"/>
        <v>3</v>
      </c>
    </row>
    <row r="1273" spans="1:5" ht="14.25">
      <c r="A1273" s="1298" t="s">
        <v>2370</v>
      </c>
      <c r="B1273" s="1298">
        <v>0.25309999999999999</v>
      </c>
      <c r="C1273" s="1298">
        <v>0.25309999999999999</v>
      </c>
      <c r="D1273" s="1349">
        <v>1</v>
      </c>
      <c r="E1273" s="1178">
        <f t="shared" si="19"/>
        <v>3</v>
      </c>
    </row>
    <row r="1274" spans="1:5" ht="14.25">
      <c r="A1274" s="1298" t="s">
        <v>2371</v>
      </c>
      <c r="B1274" s="1298">
        <v>60.903300000000002</v>
      </c>
      <c r="C1274" s="1298">
        <v>63.2102</v>
      </c>
      <c r="D1274" s="1349">
        <v>0.96350430784904972</v>
      </c>
      <c r="E1274" s="1178">
        <f t="shared" si="19"/>
        <v>3</v>
      </c>
    </row>
    <row r="1275" spans="1:5" ht="14.25">
      <c r="A1275" s="1298" t="s">
        <v>2255</v>
      </c>
      <c r="B1275" s="1298">
        <v>1670.0494590000001</v>
      </c>
      <c r="C1275" s="1298">
        <v>1749.73</v>
      </c>
      <c r="D1275" s="1349">
        <v>0.95446123630502988</v>
      </c>
      <c r="E1275" s="1178">
        <f t="shared" si="19"/>
        <v>3</v>
      </c>
    </row>
    <row r="1276" spans="1:5" ht="14.25">
      <c r="A1276" s="1298" t="s">
        <v>2258</v>
      </c>
      <c r="B1276" s="1298">
        <v>227.17400000000001</v>
      </c>
      <c r="C1276" s="1298">
        <v>234.55609999999999</v>
      </c>
      <c r="D1276" s="1349">
        <v>0.96852735870011486</v>
      </c>
      <c r="E1276" s="1178">
        <f t="shared" si="19"/>
        <v>3</v>
      </c>
    </row>
    <row r="1277" spans="1:5" ht="14.25">
      <c r="A1277" s="1298" t="s">
        <v>2257</v>
      </c>
      <c r="B1277" s="1298">
        <v>547.64890000000003</v>
      </c>
      <c r="C1277" s="1298">
        <v>569.06730000000005</v>
      </c>
      <c r="D1277" s="1349">
        <v>0.96236227244123851</v>
      </c>
      <c r="E1277" s="1178">
        <f t="shared" si="19"/>
        <v>3</v>
      </c>
    </row>
    <row r="1278" spans="1:5" ht="14.25">
      <c r="A1278" s="1298" t="s">
        <v>2370</v>
      </c>
      <c r="B1278" s="1298">
        <v>16.500499999999999</v>
      </c>
      <c r="C1278" s="1298">
        <v>16.847300000000001</v>
      </c>
      <c r="D1278" s="1349">
        <v>0.9794150991553543</v>
      </c>
      <c r="E1278" s="1178">
        <f t="shared" si="19"/>
        <v>3</v>
      </c>
    </row>
    <row r="1279" spans="1:5" ht="14.25">
      <c r="A1279" s="1298" t="s">
        <v>2371</v>
      </c>
      <c r="B1279" s="1298">
        <v>2461.3728590000001</v>
      </c>
      <c r="C1279" s="1298">
        <v>2570.2006999999999</v>
      </c>
      <c r="D1279" s="1349">
        <v>0.95765784321823588</v>
      </c>
      <c r="E1279" s="1178">
        <f t="shared" si="19"/>
        <v>3</v>
      </c>
    </row>
    <row r="1280" spans="1:5" ht="14.25">
      <c r="A1280" s="1298" t="s">
        <v>2255</v>
      </c>
      <c r="B1280" s="1298">
        <v>331.28800000000001</v>
      </c>
      <c r="C1280" s="1298">
        <v>333.89319999999998</v>
      </c>
      <c r="D1280" s="1349">
        <v>0.99219750507048365</v>
      </c>
      <c r="E1280" s="1178">
        <f t="shared" si="19"/>
        <v>3</v>
      </c>
    </row>
    <row r="1281" spans="1:5" ht="14.25">
      <c r="A1281" s="1298" t="s">
        <v>2258</v>
      </c>
      <c r="B1281" s="1298">
        <v>62.5657</v>
      </c>
      <c r="C1281" s="1298">
        <v>62.5657</v>
      </c>
      <c r="D1281" s="1349">
        <v>1</v>
      </c>
      <c r="E1281" s="1178">
        <f t="shared" si="19"/>
        <v>3</v>
      </c>
    </row>
    <row r="1282" spans="1:5" ht="14.25">
      <c r="A1282" s="1298" t="s">
        <v>2257</v>
      </c>
      <c r="B1282" s="1298">
        <v>31.55</v>
      </c>
      <c r="C1282" s="1298">
        <v>31.55</v>
      </c>
      <c r="D1282" s="1349">
        <v>1</v>
      </c>
      <c r="E1282" s="1178">
        <f t="shared" si="19"/>
        <v>3</v>
      </c>
    </row>
    <row r="1283" spans="1:5" ht="14.25">
      <c r="A1283" s="1298" t="s">
        <v>2370</v>
      </c>
      <c r="B1283" s="1298">
        <v>0.76229999999999998</v>
      </c>
      <c r="C1283" s="1298">
        <v>0.76229999999999998</v>
      </c>
      <c r="D1283" s="1349">
        <v>1</v>
      </c>
      <c r="E1283" s="1178">
        <f t="shared" ref="E1283:E1346" si="20">IF(D1283&gt;0.9,3,IF(D1283&gt;0.8,1.5,0))</f>
        <v>3</v>
      </c>
    </row>
    <row r="1284" spans="1:5" ht="14.25">
      <c r="A1284" s="1298" t="s">
        <v>2371</v>
      </c>
      <c r="B1284" s="1298">
        <v>426.166</v>
      </c>
      <c r="C1284" s="1298">
        <v>428.77120000000002</v>
      </c>
      <c r="D1284" s="1349">
        <v>0.99392403221111869</v>
      </c>
      <c r="E1284" s="1178">
        <f t="shared" si="20"/>
        <v>3</v>
      </c>
    </row>
    <row r="1285" spans="1:5" ht="14.25">
      <c r="A1285" s="1298" t="s">
        <v>2255</v>
      </c>
      <c r="B1285" s="1298">
        <v>1054.1767</v>
      </c>
      <c r="C1285" s="1298">
        <v>1083.1623999999999</v>
      </c>
      <c r="D1285" s="1349">
        <v>0.97323974687452219</v>
      </c>
      <c r="E1285" s="1178">
        <f t="shared" si="20"/>
        <v>3</v>
      </c>
    </row>
    <row r="1286" spans="1:5" ht="14.25">
      <c r="A1286" s="1298" t="s">
        <v>2258</v>
      </c>
      <c r="B1286" s="1298">
        <v>77.355099999999993</v>
      </c>
      <c r="C1286" s="1298">
        <v>81.440100000000001</v>
      </c>
      <c r="D1286" s="1349">
        <v>0.94984043487176462</v>
      </c>
      <c r="E1286" s="1178">
        <f t="shared" si="20"/>
        <v>3</v>
      </c>
    </row>
    <row r="1287" spans="1:5" ht="14.25">
      <c r="A1287" s="1298" t="s">
        <v>2257</v>
      </c>
      <c r="B1287" s="1298">
        <v>169.26730000000001</v>
      </c>
      <c r="C1287" s="1298">
        <v>172.1591</v>
      </c>
      <c r="D1287" s="1349">
        <v>0.98320274676157116</v>
      </c>
      <c r="E1287" s="1178">
        <f t="shared" si="20"/>
        <v>3</v>
      </c>
    </row>
    <row r="1288" spans="1:5" ht="14.25">
      <c r="A1288" s="1298" t="s">
        <v>2370</v>
      </c>
      <c r="B1288" s="1298">
        <v>0.15359999999999999</v>
      </c>
      <c r="C1288" s="1298">
        <v>0.15359999999999999</v>
      </c>
      <c r="D1288" s="1349">
        <v>1</v>
      </c>
      <c r="E1288" s="1178">
        <f t="shared" si="20"/>
        <v>3</v>
      </c>
    </row>
    <row r="1289" spans="1:5" ht="14.25">
      <c r="A1289" s="1298" t="s">
        <v>2371</v>
      </c>
      <c r="B1289" s="1298">
        <v>1300.9527</v>
      </c>
      <c r="C1289" s="1298">
        <v>1336.9151999999999</v>
      </c>
      <c r="D1289" s="1349">
        <v>0.97310038811736155</v>
      </c>
      <c r="E1289" s="1178">
        <f t="shared" si="20"/>
        <v>3</v>
      </c>
    </row>
    <row r="1290" spans="1:5" ht="14.25">
      <c r="A1290" s="1298" t="s">
        <v>2255</v>
      </c>
      <c r="B1290" s="1298">
        <v>237.3227</v>
      </c>
      <c r="C1290" s="1298">
        <v>250.26939999999999</v>
      </c>
      <c r="D1290" s="1349">
        <v>0.94826894538445372</v>
      </c>
      <c r="E1290" s="1178">
        <f t="shared" si="20"/>
        <v>3</v>
      </c>
    </row>
    <row r="1291" spans="1:5" ht="14.25">
      <c r="A1291" s="1298" t="s">
        <v>2257</v>
      </c>
      <c r="B1291" s="1298">
        <v>64.160600000000002</v>
      </c>
      <c r="C1291" s="1298">
        <v>66.7346</v>
      </c>
      <c r="D1291" s="1349">
        <v>0.96142930353969303</v>
      </c>
      <c r="E1291" s="1178">
        <f t="shared" si="20"/>
        <v>3</v>
      </c>
    </row>
    <row r="1292" spans="1:5" ht="14.25">
      <c r="A1292" s="1298" t="s">
        <v>2370</v>
      </c>
      <c r="B1292" s="1298">
        <v>1.1636</v>
      </c>
      <c r="C1292" s="1298">
        <v>1.1636</v>
      </c>
      <c r="D1292" s="1349">
        <v>1</v>
      </c>
      <c r="E1292" s="1178">
        <f t="shared" si="20"/>
        <v>3</v>
      </c>
    </row>
    <row r="1293" spans="1:5" ht="14.25">
      <c r="A1293" s="1298" t="s">
        <v>2371</v>
      </c>
      <c r="B1293" s="1298">
        <v>302.64690000000002</v>
      </c>
      <c r="C1293" s="1298">
        <v>318.16759999999999</v>
      </c>
      <c r="D1293" s="1349">
        <v>0.95121847730567155</v>
      </c>
      <c r="E1293" s="1178">
        <f t="shared" si="20"/>
        <v>3</v>
      </c>
    </row>
    <row r="1294" spans="1:5" ht="14.25">
      <c r="A1294" s="1298" t="s">
        <v>2255</v>
      </c>
      <c r="B1294" s="1298">
        <v>97.790499999999994</v>
      </c>
      <c r="C1294" s="1298">
        <v>99.059899999999999</v>
      </c>
      <c r="D1294" s="1349">
        <v>0.98718553117861008</v>
      </c>
      <c r="E1294" s="1178">
        <f t="shared" si="20"/>
        <v>3</v>
      </c>
    </row>
    <row r="1295" spans="1:5" ht="14.25">
      <c r="A1295" s="1298" t="s">
        <v>2258</v>
      </c>
      <c r="B1295" s="1298">
        <v>78.294499999999999</v>
      </c>
      <c r="C1295" s="1298">
        <v>80.624499999999998</v>
      </c>
      <c r="D1295" s="1349">
        <v>0.97110059597268816</v>
      </c>
      <c r="E1295" s="1178">
        <f t="shared" si="20"/>
        <v>3</v>
      </c>
    </row>
    <row r="1296" spans="1:5" ht="14.25">
      <c r="A1296" s="1298" t="s">
        <v>2257</v>
      </c>
      <c r="B1296" s="1298">
        <v>90.731399999999994</v>
      </c>
      <c r="C1296" s="1298">
        <v>93.920199999999994</v>
      </c>
      <c r="D1296" s="1349">
        <v>0.96604777247067186</v>
      </c>
      <c r="E1296" s="1178">
        <f t="shared" si="20"/>
        <v>3</v>
      </c>
    </row>
    <row r="1297" spans="1:5" ht="14.25">
      <c r="A1297" s="1298" t="s">
        <v>2370</v>
      </c>
      <c r="B1297" s="1298">
        <v>1.4442999999999999</v>
      </c>
      <c r="C1297" s="1298">
        <v>1.4442999999999999</v>
      </c>
      <c r="D1297" s="1349">
        <v>1</v>
      </c>
      <c r="E1297" s="1178">
        <f t="shared" si="20"/>
        <v>3</v>
      </c>
    </row>
    <row r="1298" spans="1:5" ht="14.25">
      <c r="A1298" s="1298" t="s">
        <v>2371</v>
      </c>
      <c r="B1298" s="1298">
        <v>268.26069999999999</v>
      </c>
      <c r="C1298" s="1298">
        <v>275.0489</v>
      </c>
      <c r="D1298" s="1349">
        <v>0.97532002491193381</v>
      </c>
      <c r="E1298" s="1178">
        <f t="shared" si="20"/>
        <v>3</v>
      </c>
    </row>
    <row r="1299" spans="1:5" ht="14.25">
      <c r="A1299" s="1298" t="s">
        <v>2255</v>
      </c>
      <c r="B1299" s="1298">
        <v>241.72669999999999</v>
      </c>
      <c r="C1299" s="1298">
        <v>247.4041</v>
      </c>
      <c r="D1299" s="1349">
        <v>0.97705211837637296</v>
      </c>
      <c r="E1299" s="1178">
        <f t="shared" si="20"/>
        <v>3</v>
      </c>
    </row>
    <row r="1300" spans="1:5" ht="14.25">
      <c r="A1300" s="1298" t="s">
        <v>2257</v>
      </c>
      <c r="B1300" s="1298">
        <v>10.8</v>
      </c>
      <c r="C1300" s="1298">
        <v>10.8</v>
      </c>
      <c r="D1300" s="1349">
        <v>1</v>
      </c>
      <c r="E1300" s="1178">
        <f t="shared" si="20"/>
        <v>3</v>
      </c>
    </row>
    <row r="1301" spans="1:5" ht="14.25">
      <c r="A1301" s="1298" t="s">
        <v>2371</v>
      </c>
      <c r="B1301" s="1298">
        <v>252.52670000000001</v>
      </c>
      <c r="C1301" s="1298">
        <v>258.20409999999998</v>
      </c>
      <c r="D1301" s="1349">
        <v>0.97801196805163049</v>
      </c>
      <c r="E1301" s="1178">
        <f t="shared" si="20"/>
        <v>3</v>
      </c>
    </row>
    <row r="1302" spans="1:5" ht="14.25">
      <c r="A1302" s="1298" t="s">
        <v>2255</v>
      </c>
      <c r="B1302" s="1298">
        <v>201.57050000000001</v>
      </c>
      <c r="C1302" s="1298">
        <v>207.7655</v>
      </c>
      <c r="D1302" s="1349">
        <v>0.97018273004902167</v>
      </c>
      <c r="E1302" s="1178">
        <f t="shared" si="20"/>
        <v>3</v>
      </c>
    </row>
    <row r="1303" spans="1:5" ht="14.25">
      <c r="A1303" s="1298" t="s">
        <v>2257</v>
      </c>
      <c r="B1303" s="1298">
        <v>21.3</v>
      </c>
      <c r="C1303" s="1298">
        <v>21.3</v>
      </c>
      <c r="D1303" s="1349">
        <v>1</v>
      </c>
      <c r="E1303" s="1178">
        <f t="shared" si="20"/>
        <v>3</v>
      </c>
    </row>
    <row r="1304" spans="1:5" ht="14.25">
      <c r="A1304" s="1298" t="s">
        <v>2371</v>
      </c>
      <c r="B1304" s="1298">
        <v>222.87049999999999</v>
      </c>
      <c r="C1304" s="1298">
        <v>229.06549999999999</v>
      </c>
      <c r="D1304" s="1349">
        <v>0.9729553337364204</v>
      </c>
      <c r="E1304" s="1178">
        <f t="shared" si="20"/>
        <v>3</v>
      </c>
    </row>
    <row r="1305" spans="1:5" ht="14.25">
      <c r="A1305" s="1298" t="s">
        <v>2255</v>
      </c>
      <c r="B1305" s="1298">
        <v>95.177899999999994</v>
      </c>
      <c r="C1305" s="1298">
        <v>105.0197</v>
      </c>
      <c r="D1305" s="1349">
        <v>0.90628615393111955</v>
      </c>
      <c r="E1305" s="1178">
        <f t="shared" si="20"/>
        <v>3</v>
      </c>
    </row>
    <row r="1306" spans="1:5" ht="14.25">
      <c r="A1306" s="1298" t="s">
        <v>2257</v>
      </c>
      <c r="B1306" s="1298">
        <v>2.2999999999999998</v>
      </c>
      <c r="C1306" s="1298">
        <v>2.2999999999999998</v>
      </c>
      <c r="D1306" s="1349">
        <v>1</v>
      </c>
      <c r="E1306" s="1178">
        <f t="shared" si="20"/>
        <v>3</v>
      </c>
    </row>
    <row r="1307" spans="1:5" ht="14.25">
      <c r="A1307" s="1298" t="s">
        <v>2370</v>
      </c>
      <c r="B1307" s="1298">
        <v>0.19109999999999999</v>
      </c>
      <c r="C1307" s="1298">
        <v>0.19109999999999999</v>
      </c>
      <c r="D1307" s="1349">
        <v>1</v>
      </c>
      <c r="E1307" s="1178">
        <f t="shared" si="20"/>
        <v>3</v>
      </c>
    </row>
    <row r="1308" spans="1:5" ht="14.25">
      <c r="A1308" s="1298" t="s">
        <v>2371</v>
      </c>
      <c r="B1308" s="1298">
        <v>97.668999999999997</v>
      </c>
      <c r="C1308" s="1298">
        <v>107.5108</v>
      </c>
      <c r="D1308" s="1349">
        <v>0.90845756891400675</v>
      </c>
      <c r="E1308" s="1178">
        <f t="shared" si="20"/>
        <v>3</v>
      </c>
    </row>
    <row r="1309" spans="1:5" ht="14.25">
      <c r="A1309" s="1298" t="s">
        <v>2255</v>
      </c>
      <c r="B1309" s="1298">
        <v>72.513099999999994</v>
      </c>
      <c r="C1309" s="1298">
        <v>73.440700000000007</v>
      </c>
      <c r="D1309" s="1349">
        <v>0.98736940143544383</v>
      </c>
      <c r="E1309" s="1178">
        <f t="shared" si="20"/>
        <v>3</v>
      </c>
    </row>
    <row r="1310" spans="1:5" ht="14.25">
      <c r="A1310" s="1298" t="s">
        <v>2257</v>
      </c>
      <c r="B1310" s="1298">
        <v>3</v>
      </c>
      <c r="C1310" s="1298">
        <v>3.3</v>
      </c>
      <c r="D1310" s="1349">
        <v>0.90909090909090906</v>
      </c>
      <c r="E1310" s="1178">
        <f t="shared" si="20"/>
        <v>3</v>
      </c>
    </row>
    <row r="1311" spans="1:5" ht="14.25">
      <c r="A1311" s="1298" t="s">
        <v>2370</v>
      </c>
      <c r="B1311" s="1298">
        <v>0.4173</v>
      </c>
      <c r="C1311" s="1298">
        <v>0.4173</v>
      </c>
      <c r="D1311" s="1349">
        <v>1</v>
      </c>
      <c r="E1311" s="1178">
        <f t="shared" si="20"/>
        <v>3</v>
      </c>
    </row>
    <row r="1312" spans="1:5" ht="14.25">
      <c r="A1312" s="1298" t="s">
        <v>2371</v>
      </c>
      <c r="B1312" s="1298">
        <v>75.930400000000006</v>
      </c>
      <c r="C1312" s="1298">
        <v>77.158000000000001</v>
      </c>
      <c r="D1312" s="1349">
        <v>0.98408978978200579</v>
      </c>
      <c r="E1312" s="1178">
        <f t="shared" si="20"/>
        <v>3</v>
      </c>
    </row>
    <row r="1313" spans="1:5" ht="14.25">
      <c r="A1313" s="1298" t="s">
        <v>2255</v>
      </c>
      <c r="B1313" s="1298">
        <v>34.983899999999998</v>
      </c>
      <c r="C1313" s="1298">
        <v>35.0884</v>
      </c>
      <c r="D1313" s="1349">
        <v>0.99702180777692917</v>
      </c>
      <c r="E1313" s="1178">
        <f t="shared" si="20"/>
        <v>3</v>
      </c>
    </row>
    <row r="1314" spans="1:5" ht="14.25">
      <c r="A1314" s="1298" t="s">
        <v>2257</v>
      </c>
      <c r="B1314" s="1298">
        <v>6.4</v>
      </c>
      <c r="C1314" s="1298">
        <v>6.4</v>
      </c>
      <c r="D1314" s="1349">
        <v>1</v>
      </c>
      <c r="E1314" s="1178">
        <f t="shared" si="20"/>
        <v>3</v>
      </c>
    </row>
    <row r="1315" spans="1:5" ht="14.25">
      <c r="A1315" s="1298" t="s">
        <v>2370</v>
      </c>
      <c r="B1315" s="1298">
        <v>0.94920000000000004</v>
      </c>
      <c r="C1315" s="1298">
        <v>0.94920000000000004</v>
      </c>
      <c r="D1315" s="1349">
        <v>1</v>
      </c>
      <c r="E1315" s="1178">
        <f t="shared" si="20"/>
        <v>3</v>
      </c>
    </row>
    <row r="1316" spans="1:5" ht="14.25">
      <c r="A1316" s="1298" t="s">
        <v>2371</v>
      </c>
      <c r="B1316" s="1298">
        <v>42.333100000000002</v>
      </c>
      <c r="C1316" s="1298">
        <v>42.437600000000003</v>
      </c>
      <c r="D1316" s="1349">
        <v>0.99753756103078406</v>
      </c>
      <c r="E1316" s="1178">
        <f t="shared" si="20"/>
        <v>3</v>
      </c>
    </row>
    <row r="1317" spans="1:5" ht="14.25">
      <c r="A1317" s="1298" t="s">
        <v>2255</v>
      </c>
      <c r="B1317" s="1298">
        <v>46.408499999999997</v>
      </c>
      <c r="C1317" s="1298">
        <v>49.270699999999998</v>
      </c>
      <c r="D1317" s="1349">
        <v>0.9419086800065759</v>
      </c>
      <c r="E1317" s="1178">
        <f t="shared" si="20"/>
        <v>3</v>
      </c>
    </row>
    <row r="1318" spans="1:5" ht="14.25">
      <c r="A1318" s="1298" t="s">
        <v>2257</v>
      </c>
      <c r="B1318" s="1298">
        <v>19.7</v>
      </c>
      <c r="C1318" s="1298">
        <v>20.9</v>
      </c>
      <c r="D1318" s="1349">
        <v>0.9425837320574163</v>
      </c>
      <c r="E1318" s="1178">
        <f t="shared" si="20"/>
        <v>3</v>
      </c>
    </row>
    <row r="1319" spans="1:5" ht="14.25">
      <c r="A1319" s="1298" t="s">
        <v>2370</v>
      </c>
      <c r="B1319" s="1298">
        <v>2.8273999999999999</v>
      </c>
      <c r="C1319" s="1298">
        <v>2.8243999999999998</v>
      </c>
      <c r="D1319" s="1349">
        <v>1</v>
      </c>
      <c r="E1319" s="1178">
        <f t="shared" si="20"/>
        <v>3</v>
      </c>
    </row>
    <row r="1320" spans="1:5" ht="14.25">
      <c r="A1320" s="1298" t="s">
        <v>2371</v>
      </c>
      <c r="B1320" s="1298">
        <v>68.935900000000004</v>
      </c>
      <c r="C1320" s="1298">
        <v>72.995099999999994</v>
      </c>
      <c r="D1320" s="1349">
        <v>0.94439078787480257</v>
      </c>
      <c r="E1320" s="1178">
        <f t="shared" si="20"/>
        <v>3</v>
      </c>
    </row>
    <row r="1321" spans="1:5" ht="14.25">
      <c r="A1321" s="1298" t="s">
        <v>2255</v>
      </c>
      <c r="B1321" s="1298">
        <v>54.807400000000001</v>
      </c>
      <c r="C1321" s="1298">
        <v>58.564100000000003</v>
      </c>
      <c r="D1321" s="1349">
        <v>0.93585319333858119</v>
      </c>
      <c r="E1321" s="1178">
        <f t="shared" si="20"/>
        <v>3</v>
      </c>
    </row>
    <row r="1322" spans="1:5" ht="14.25">
      <c r="A1322" s="1298" t="s">
        <v>2371</v>
      </c>
      <c r="B1322" s="1298">
        <v>54.807400000000001</v>
      </c>
      <c r="C1322" s="1298">
        <v>58.564100000000003</v>
      </c>
      <c r="D1322" s="1349">
        <v>0.93585319333858119</v>
      </c>
      <c r="E1322" s="1178">
        <f t="shared" si="20"/>
        <v>3</v>
      </c>
    </row>
    <row r="1323" spans="1:5" ht="14.25">
      <c r="A1323" s="1298" t="s">
        <v>2255</v>
      </c>
      <c r="B1323" s="1298">
        <v>26.467199999999998</v>
      </c>
      <c r="C1323" s="1298">
        <v>29.079799999999999</v>
      </c>
      <c r="D1323" s="1349">
        <v>0.91015756642067691</v>
      </c>
      <c r="E1323" s="1178">
        <f t="shared" si="20"/>
        <v>3</v>
      </c>
    </row>
    <row r="1324" spans="1:5" ht="14.25">
      <c r="A1324" s="1298" t="s">
        <v>2371</v>
      </c>
      <c r="B1324" s="1298">
        <v>26.467199999999998</v>
      </c>
      <c r="C1324" s="1298">
        <v>29.079799999999999</v>
      </c>
      <c r="D1324" s="1349">
        <v>0.91015756642067691</v>
      </c>
      <c r="E1324" s="1178">
        <f t="shared" si="20"/>
        <v>3</v>
      </c>
    </row>
    <row r="1325" spans="1:5" ht="14.25">
      <c r="A1325" s="1298" t="s">
        <v>2255</v>
      </c>
      <c r="B1325" s="1298">
        <v>871.44569999999999</v>
      </c>
      <c r="C1325" s="1298">
        <v>904.69290000000001</v>
      </c>
      <c r="D1325" s="1349">
        <v>0.96325029189463074</v>
      </c>
      <c r="E1325" s="1178">
        <f t="shared" si="20"/>
        <v>3</v>
      </c>
    </row>
    <row r="1326" spans="1:5" ht="14.25">
      <c r="A1326" s="1298" t="s">
        <v>2258</v>
      </c>
      <c r="B1326" s="1298">
        <v>78.294499999999999</v>
      </c>
      <c r="C1326" s="1298">
        <v>80.624499999999998</v>
      </c>
      <c r="D1326" s="1349">
        <v>0.97110059597268816</v>
      </c>
      <c r="E1326" s="1178">
        <f t="shared" si="20"/>
        <v>3</v>
      </c>
    </row>
    <row r="1327" spans="1:5" ht="14.25">
      <c r="A1327" s="1298" t="s">
        <v>2257</v>
      </c>
      <c r="B1327" s="1298">
        <v>154.23140000000001</v>
      </c>
      <c r="C1327" s="1298">
        <v>158.92019999999999</v>
      </c>
      <c r="D1327" s="1349">
        <v>0.97049588409780507</v>
      </c>
      <c r="E1327" s="1178">
        <f t="shared" si="20"/>
        <v>3</v>
      </c>
    </row>
    <row r="1328" spans="1:5" ht="14.25">
      <c r="A1328" s="1298" t="s">
        <v>2370</v>
      </c>
      <c r="B1328" s="1298">
        <v>5.8292999999999999</v>
      </c>
      <c r="C1328" s="1298">
        <v>5.8262999999999998</v>
      </c>
      <c r="D1328" s="1349">
        <v>1</v>
      </c>
      <c r="E1328" s="1178">
        <f t="shared" si="20"/>
        <v>3</v>
      </c>
    </row>
    <row r="1329" spans="1:5" ht="14.25">
      <c r="A1329" s="1298" t="s">
        <v>2371</v>
      </c>
      <c r="B1329" s="1298">
        <v>1109.8009</v>
      </c>
      <c r="C1329" s="1298">
        <v>1150.0639000000001</v>
      </c>
      <c r="D1329" s="1349">
        <v>0.96499064095482001</v>
      </c>
      <c r="E1329" s="1178">
        <f t="shared" si="20"/>
        <v>3</v>
      </c>
    </row>
    <row r="1330" spans="1:5" ht="14.25">
      <c r="A1330" s="1298" t="s">
        <v>2255</v>
      </c>
      <c r="B1330" s="1298">
        <v>102.0288</v>
      </c>
      <c r="C1330" s="1298">
        <v>104.07850000000001</v>
      </c>
      <c r="D1330" s="1349">
        <v>0.98030621117714034</v>
      </c>
      <c r="E1330" s="1178">
        <f t="shared" si="20"/>
        <v>3</v>
      </c>
    </row>
    <row r="1331" spans="1:5" ht="14.25">
      <c r="A1331" s="1298" t="s">
        <v>2258</v>
      </c>
      <c r="B1331" s="1298">
        <v>234.30869999999999</v>
      </c>
      <c r="C1331" s="1298">
        <v>243.5463</v>
      </c>
      <c r="D1331" s="1349">
        <v>0.96207045641834843</v>
      </c>
      <c r="E1331" s="1178">
        <f t="shared" si="20"/>
        <v>3</v>
      </c>
    </row>
    <row r="1332" spans="1:5" ht="14.25">
      <c r="A1332" s="1298" t="s">
        <v>2257</v>
      </c>
      <c r="B1332" s="1298">
        <v>7.1664000000000003</v>
      </c>
      <c r="C1332" s="1298">
        <v>7.1664000000000003</v>
      </c>
      <c r="D1332" s="1349">
        <v>1</v>
      </c>
      <c r="E1332" s="1178">
        <f t="shared" si="20"/>
        <v>3</v>
      </c>
    </row>
    <row r="1333" spans="1:5" ht="14.25">
      <c r="A1333" s="1298" t="s">
        <v>2370</v>
      </c>
      <c r="B1333" s="1298">
        <v>0.42459999999999998</v>
      </c>
      <c r="C1333" s="1298">
        <v>0.42459999999999998</v>
      </c>
      <c r="D1333" s="1349">
        <v>1</v>
      </c>
      <c r="E1333" s="1178">
        <f t="shared" si="20"/>
        <v>3</v>
      </c>
    </row>
    <row r="1334" spans="1:5" ht="14.25">
      <c r="A1334" s="1298" t="s">
        <v>2371</v>
      </c>
      <c r="B1334" s="1298">
        <v>343.92849999999999</v>
      </c>
      <c r="C1334" s="1298">
        <v>355.2158</v>
      </c>
      <c r="D1334" s="1349">
        <v>0.96822410489623489</v>
      </c>
      <c r="E1334" s="1178">
        <f t="shared" si="20"/>
        <v>3</v>
      </c>
    </row>
    <row r="1335" spans="1:5" ht="14.25">
      <c r="A1335" s="1298" t="s">
        <v>2255</v>
      </c>
      <c r="B1335" s="1298">
        <v>79.279799999999994</v>
      </c>
      <c r="C1335" s="1298">
        <v>81.660200000000003</v>
      </c>
      <c r="D1335" s="1349">
        <v>0.97084993668886432</v>
      </c>
      <c r="E1335" s="1178">
        <f t="shared" si="20"/>
        <v>3</v>
      </c>
    </row>
    <row r="1336" spans="1:5" ht="14.25">
      <c r="A1336" s="1298" t="s">
        <v>2257</v>
      </c>
      <c r="B1336" s="1298">
        <v>1</v>
      </c>
      <c r="C1336" s="1298">
        <v>1</v>
      </c>
      <c r="D1336" s="1349">
        <v>1</v>
      </c>
      <c r="E1336" s="1178">
        <f t="shared" si="20"/>
        <v>3</v>
      </c>
    </row>
    <row r="1337" spans="1:5" ht="14.25">
      <c r="A1337" s="1298" t="s">
        <v>2370</v>
      </c>
      <c r="B1337" s="1298">
        <v>0.48920000000000002</v>
      </c>
      <c r="C1337" s="1298">
        <v>0.48920000000000002</v>
      </c>
      <c r="D1337" s="1349">
        <v>1</v>
      </c>
      <c r="E1337" s="1178">
        <f t="shared" si="20"/>
        <v>3</v>
      </c>
    </row>
    <row r="1338" spans="1:5" ht="14.25">
      <c r="A1338" s="1298" t="s">
        <v>2371</v>
      </c>
      <c r="B1338" s="1298">
        <v>80.769000000000005</v>
      </c>
      <c r="C1338" s="1298">
        <v>83.1494</v>
      </c>
      <c r="D1338" s="1349">
        <v>0.97137201230556081</v>
      </c>
      <c r="E1338" s="1178">
        <f t="shared" si="20"/>
        <v>3</v>
      </c>
    </row>
    <row r="1339" spans="1:5" ht="14.25">
      <c r="A1339" s="1298" t="s">
        <v>2255</v>
      </c>
      <c r="B1339" s="1298">
        <v>101.16759999999999</v>
      </c>
      <c r="C1339" s="1298">
        <v>102.7045</v>
      </c>
      <c r="D1339" s="1349">
        <v>0.98503570924350925</v>
      </c>
      <c r="E1339" s="1178">
        <f t="shared" si="20"/>
        <v>3</v>
      </c>
    </row>
    <row r="1340" spans="1:5" ht="14.25">
      <c r="A1340" s="1298" t="s">
        <v>2257</v>
      </c>
      <c r="B1340" s="1298">
        <v>2</v>
      </c>
      <c r="C1340" s="1298">
        <v>2</v>
      </c>
      <c r="D1340" s="1349">
        <v>1</v>
      </c>
      <c r="E1340" s="1178">
        <f t="shared" si="20"/>
        <v>3</v>
      </c>
    </row>
    <row r="1341" spans="1:5" ht="14.25">
      <c r="A1341" s="1298" t="s">
        <v>2370</v>
      </c>
      <c r="B1341" s="1298">
        <v>0.20580000000000001</v>
      </c>
      <c r="C1341" s="1298">
        <v>0.20580000000000001</v>
      </c>
      <c r="D1341" s="1349">
        <v>1</v>
      </c>
      <c r="E1341" s="1178">
        <f t="shared" si="20"/>
        <v>3</v>
      </c>
    </row>
    <row r="1342" spans="1:5" ht="14.25">
      <c r="A1342" s="1298" t="s">
        <v>2371</v>
      </c>
      <c r="B1342" s="1298">
        <v>103.3734</v>
      </c>
      <c r="C1342" s="1298">
        <v>104.91030000000001</v>
      </c>
      <c r="D1342" s="1349">
        <v>0.98535034214943629</v>
      </c>
      <c r="E1342" s="1178">
        <f t="shared" si="20"/>
        <v>3</v>
      </c>
    </row>
    <row r="1343" spans="1:5" ht="14.25">
      <c r="A1343" s="1298" t="s">
        <v>2255</v>
      </c>
      <c r="B1343" s="1298">
        <v>257.37700000000001</v>
      </c>
      <c r="C1343" s="1298">
        <v>262.39729999999997</v>
      </c>
      <c r="D1343" s="1349">
        <v>0.98086756228055705</v>
      </c>
      <c r="E1343" s="1178">
        <f t="shared" si="20"/>
        <v>3</v>
      </c>
    </row>
    <row r="1344" spans="1:5" ht="14.25">
      <c r="A1344" s="1298" t="s">
        <v>2257</v>
      </c>
      <c r="B1344" s="1298">
        <v>3.4</v>
      </c>
      <c r="C1344" s="1298">
        <v>3.4</v>
      </c>
      <c r="D1344" s="1349">
        <v>1</v>
      </c>
      <c r="E1344" s="1178">
        <f t="shared" si="20"/>
        <v>3</v>
      </c>
    </row>
    <row r="1345" spans="1:5" ht="14.25">
      <c r="A1345" s="1298" t="s">
        <v>2371</v>
      </c>
      <c r="B1345" s="1298">
        <v>260.77699999999999</v>
      </c>
      <c r="C1345" s="1298">
        <v>265.79730000000001</v>
      </c>
      <c r="D1345" s="1349">
        <v>0.98111229873290662</v>
      </c>
      <c r="E1345" s="1178">
        <f t="shared" si="20"/>
        <v>3</v>
      </c>
    </row>
    <row r="1346" spans="1:5" ht="14.25">
      <c r="A1346" s="1298" t="s">
        <v>2255</v>
      </c>
      <c r="B1346" s="1298">
        <v>56.257899999999999</v>
      </c>
      <c r="C1346" s="1298">
        <v>59.621400000000001</v>
      </c>
      <c r="D1346" s="1349">
        <v>0.94358569238561996</v>
      </c>
      <c r="E1346" s="1178">
        <f t="shared" si="20"/>
        <v>3</v>
      </c>
    </row>
    <row r="1347" spans="1:5" ht="14.25">
      <c r="A1347" s="1298" t="s">
        <v>2257</v>
      </c>
      <c r="B1347" s="1298">
        <v>3.6</v>
      </c>
      <c r="C1347" s="1298">
        <v>3.6</v>
      </c>
      <c r="D1347" s="1349">
        <v>1</v>
      </c>
      <c r="E1347" s="1178">
        <f t="shared" ref="E1347:E1410" si="21">IF(D1347&gt;0.9,3,IF(D1347&gt;0.8,1.5,0))</f>
        <v>3</v>
      </c>
    </row>
    <row r="1348" spans="1:5" ht="14.25">
      <c r="A1348" s="1298" t="s">
        <v>2371</v>
      </c>
      <c r="B1348" s="1298">
        <v>59.857900000000001</v>
      </c>
      <c r="C1348" s="1298">
        <v>63.221400000000003</v>
      </c>
      <c r="D1348" s="1349">
        <v>0.94679807786603898</v>
      </c>
      <c r="E1348" s="1178">
        <f t="shared" si="21"/>
        <v>3</v>
      </c>
    </row>
    <row r="1349" spans="1:5" ht="14.25">
      <c r="A1349" s="1298" t="s">
        <v>2255</v>
      </c>
      <c r="B1349" s="1298">
        <v>76.378200000000007</v>
      </c>
      <c r="C1349" s="1298">
        <v>77.206900000000005</v>
      </c>
      <c r="D1349" s="1349">
        <v>0.98926650338246969</v>
      </c>
      <c r="E1349" s="1178">
        <f t="shared" si="21"/>
        <v>3</v>
      </c>
    </row>
    <row r="1350" spans="1:5" ht="14.25">
      <c r="A1350" s="1298" t="s">
        <v>2370</v>
      </c>
      <c r="B1350" s="1298">
        <v>0.34029999999999999</v>
      </c>
      <c r="C1350" s="1298">
        <v>0.34029999999999999</v>
      </c>
      <c r="D1350" s="1349">
        <v>1</v>
      </c>
      <c r="E1350" s="1178">
        <f t="shared" si="21"/>
        <v>3</v>
      </c>
    </row>
    <row r="1351" spans="1:5" ht="14.25">
      <c r="A1351" s="1298" t="s">
        <v>2371</v>
      </c>
      <c r="B1351" s="1298">
        <v>76.718500000000006</v>
      </c>
      <c r="C1351" s="1298">
        <v>77.547200000000004</v>
      </c>
      <c r="D1351" s="1349">
        <v>0.98931360513338973</v>
      </c>
      <c r="E1351" s="1178">
        <f t="shared" si="21"/>
        <v>3</v>
      </c>
    </row>
    <row r="1352" spans="1:5" ht="14.25">
      <c r="A1352" s="1298" t="s">
        <v>2255</v>
      </c>
      <c r="B1352" s="1298">
        <v>366.09949999999998</v>
      </c>
      <c r="C1352" s="1298">
        <v>376.69549999999998</v>
      </c>
      <c r="D1352" s="1349">
        <v>0.9718711797725218</v>
      </c>
      <c r="E1352" s="1178">
        <f t="shared" si="21"/>
        <v>3</v>
      </c>
    </row>
    <row r="1353" spans="1:5" ht="14.25">
      <c r="A1353" s="1298" t="s">
        <v>2257</v>
      </c>
      <c r="B1353" s="1298">
        <v>0.8</v>
      </c>
      <c r="C1353" s="1298">
        <v>0.8</v>
      </c>
      <c r="D1353" s="1349">
        <v>1</v>
      </c>
      <c r="E1353" s="1178">
        <f t="shared" si="21"/>
        <v>3</v>
      </c>
    </row>
    <row r="1354" spans="1:5" ht="14.25">
      <c r="A1354" s="1298" t="s">
        <v>2370</v>
      </c>
      <c r="B1354" s="1298">
        <v>0.25009999999999999</v>
      </c>
      <c r="C1354" s="1298">
        <v>0.25009999999999999</v>
      </c>
      <c r="D1354" s="1349">
        <v>1</v>
      </c>
      <c r="E1354" s="1178">
        <f t="shared" si="21"/>
        <v>3</v>
      </c>
    </row>
    <row r="1355" spans="1:5" ht="14.25">
      <c r="A1355" s="1298" t="s">
        <v>2371</v>
      </c>
      <c r="B1355" s="1298">
        <v>367.14960000000002</v>
      </c>
      <c r="C1355" s="1298">
        <v>377.74560000000002</v>
      </c>
      <c r="D1355" s="1349">
        <v>0.97194937545268567</v>
      </c>
      <c r="E1355" s="1178">
        <f t="shared" si="21"/>
        <v>3</v>
      </c>
    </row>
    <row r="1356" spans="1:5" ht="14.25">
      <c r="A1356" s="1298" t="s">
        <v>2255</v>
      </c>
      <c r="B1356" s="1298">
        <v>121.4449</v>
      </c>
      <c r="C1356" s="1298">
        <v>125.0711</v>
      </c>
      <c r="D1356" s="1349">
        <v>0.97100689128023976</v>
      </c>
      <c r="E1356" s="1178">
        <f t="shared" si="21"/>
        <v>3</v>
      </c>
    </row>
    <row r="1357" spans="1:5" ht="14.25">
      <c r="A1357" s="1298" t="s">
        <v>2257</v>
      </c>
      <c r="B1357" s="1298">
        <v>9.6</v>
      </c>
      <c r="C1357" s="1298">
        <v>9.6</v>
      </c>
      <c r="D1357" s="1349">
        <v>1</v>
      </c>
      <c r="E1357" s="1178">
        <f t="shared" si="21"/>
        <v>3</v>
      </c>
    </row>
    <row r="1358" spans="1:5" ht="14.25">
      <c r="A1358" s="1298" t="s">
        <v>2371</v>
      </c>
      <c r="B1358" s="1298">
        <v>131.04490000000001</v>
      </c>
      <c r="C1358" s="1298">
        <v>134.6711</v>
      </c>
      <c r="D1358" s="1349">
        <v>0.97307365871371065</v>
      </c>
      <c r="E1358" s="1178">
        <f t="shared" si="21"/>
        <v>3</v>
      </c>
    </row>
    <row r="1359" spans="1:5" ht="14.25">
      <c r="A1359" s="1298" t="s">
        <v>2255</v>
      </c>
      <c r="B1359" s="1298">
        <v>8.5006000000000004</v>
      </c>
      <c r="C1359" s="1298">
        <v>11.2761</v>
      </c>
      <c r="D1359" s="1349">
        <v>0.7538599338423746</v>
      </c>
      <c r="E1359" s="1178">
        <f t="shared" si="21"/>
        <v>0</v>
      </c>
    </row>
    <row r="1360" spans="1:5" ht="14.25">
      <c r="A1360" s="1298" t="s">
        <v>2371</v>
      </c>
      <c r="B1360" s="1298">
        <v>8.5006000000000004</v>
      </c>
      <c r="C1360" s="1298">
        <v>11.2761</v>
      </c>
      <c r="D1360" s="1349">
        <v>0.7538599338423746</v>
      </c>
      <c r="E1360" s="1178">
        <f t="shared" si="21"/>
        <v>0</v>
      </c>
    </row>
    <row r="1361" spans="1:5" ht="14.25">
      <c r="A1361" s="1298" t="s">
        <v>2255</v>
      </c>
      <c r="B1361" s="1298">
        <v>1168.5343</v>
      </c>
      <c r="C1361" s="1298">
        <v>1200.7114999999999</v>
      </c>
      <c r="D1361" s="1349">
        <v>0.97320155591080793</v>
      </c>
      <c r="E1361" s="1178">
        <f t="shared" si="21"/>
        <v>3</v>
      </c>
    </row>
    <row r="1362" spans="1:5" ht="14.25">
      <c r="A1362" s="1298" t="s">
        <v>2258</v>
      </c>
      <c r="B1362" s="1298">
        <v>234.30869999999999</v>
      </c>
      <c r="C1362" s="1298">
        <v>243.5463</v>
      </c>
      <c r="D1362" s="1349">
        <v>0.96207045641834843</v>
      </c>
      <c r="E1362" s="1178">
        <f t="shared" si="21"/>
        <v>3</v>
      </c>
    </row>
    <row r="1363" spans="1:5" ht="14.25">
      <c r="A1363" s="1298" t="s">
        <v>2257</v>
      </c>
      <c r="B1363" s="1298">
        <v>27.566400000000002</v>
      </c>
      <c r="C1363" s="1298">
        <v>27.566400000000002</v>
      </c>
      <c r="D1363" s="1349">
        <v>1</v>
      </c>
      <c r="E1363" s="1178">
        <f t="shared" si="21"/>
        <v>3</v>
      </c>
    </row>
    <row r="1364" spans="1:5" ht="14.25">
      <c r="A1364" s="1298" t="s">
        <v>2370</v>
      </c>
      <c r="B1364" s="1298">
        <v>1.71</v>
      </c>
      <c r="C1364" s="1298">
        <v>1.71</v>
      </c>
      <c r="D1364" s="1349">
        <v>1</v>
      </c>
      <c r="E1364" s="1178">
        <f t="shared" si="21"/>
        <v>3</v>
      </c>
    </row>
    <row r="1365" spans="1:5" ht="14.25">
      <c r="A1365" s="1298" t="s">
        <v>2371</v>
      </c>
      <c r="B1365" s="1298">
        <v>1432.1194</v>
      </c>
      <c r="C1365" s="1298">
        <v>1473.5342000000001</v>
      </c>
      <c r="D1365" s="1349">
        <v>0.97189423903428918</v>
      </c>
      <c r="E1365" s="1178">
        <f t="shared" si="21"/>
        <v>3</v>
      </c>
    </row>
    <row r="1366" spans="1:5" ht="14.25">
      <c r="A1366" s="1298" t="s">
        <v>2255</v>
      </c>
      <c r="B1366" s="1298">
        <v>266.11430000000001</v>
      </c>
      <c r="C1366" s="1298">
        <v>280.03530000000001</v>
      </c>
      <c r="D1366" s="1349">
        <v>0.95028841006830211</v>
      </c>
      <c r="E1366" s="1178">
        <f t="shared" si="21"/>
        <v>3</v>
      </c>
    </row>
    <row r="1367" spans="1:5" ht="14.25">
      <c r="A1367" s="1298" t="s">
        <v>2258</v>
      </c>
      <c r="B1367" s="1298">
        <v>518.92550000000006</v>
      </c>
      <c r="C1367" s="1298">
        <v>560.62909999999999</v>
      </c>
      <c r="D1367" s="1349">
        <v>0.92561285170534313</v>
      </c>
      <c r="E1367" s="1178">
        <f t="shared" si="21"/>
        <v>3</v>
      </c>
    </row>
    <row r="1368" spans="1:5" ht="14.25">
      <c r="A1368" s="1298" t="s">
        <v>2257</v>
      </c>
      <c r="B1368" s="1298">
        <v>12.4032</v>
      </c>
      <c r="C1368" s="1298">
        <v>12.780799999999999</v>
      </c>
      <c r="D1368" s="1349">
        <v>0.97045568352528788</v>
      </c>
      <c r="E1368" s="1178">
        <f t="shared" si="21"/>
        <v>3</v>
      </c>
    </row>
    <row r="1369" spans="1:5" ht="14.25">
      <c r="A1369" s="1298" t="s">
        <v>2370</v>
      </c>
      <c r="B1369" s="1298">
        <v>1.2081999999999999</v>
      </c>
      <c r="C1369" s="1298">
        <v>1.2081999999999999</v>
      </c>
      <c r="D1369" s="1349">
        <v>1</v>
      </c>
      <c r="E1369" s="1178">
        <f t="shared" si="21"/>
        <v>3</v>
      </c>
    </row>
    <row r="1370" spans="1:5" ht="14.25">
      <c r="A1370" s="1298" t="s">
        <v>2371</v>
      </c>
      <c r="B1370" s="1298">
        <v>798.65120000000002</v>
      </c>
      <c r="C1370" s="1298">
        <v>854.65340000000003</v>
      </c>
      <c r="D1370" s="1349">
        <v>0.93447378785364921</v>
      </c>
      <c r="E1370" s="1178">
        <f t="shared" si="21"/>
        <v>3</v>
      </c>
    </row>
    <row r="1371" spans="1:5" ht="14.25">
      <c r="A1371" s="1298" t="s">
        <v>2255</v>
      </c>
      <c r="B1371" s="1298">
        <v>20.503599999999999</v>
      </c>
      <c r="C1371" s="1298">
        <v>22.236599999999999</v>
      </c>
      <c r="D1371" s="1349">
        <v>0.92206542367088495</v>
      </c>
      <c r="E1371" s="1178">
        <f t="shared" si="21"/>
        <v>3</v>
      </c>
    </row>
    <row r="1372" spans="1:5" ht="14.25">
      <c r="A1372" s="1298" t="s">
        <v>2257</v>
      </c>
      <c r="B1372" s="1298">
        <v>0.3</v>
      </c>
      <c r="C1372" s="1298">
        <v>0.3</v>
      </c>
      <c r="D1372" s="1349">
        <v>1</v>
      </c>
      <c r="E1372" s="1178">
        <f t="shared" si="21"/>
        <v>3</v>
      </c>
    </row>
    <row r="1373" spans="1:5" ht="14.25">
      <c r="A1373" s="1298" t="s">
        <v>2371</v>
      </c>
      <c r="B1373" s="1298">
        <v>20.803599999999999</v>
      </c>
      <c r="C1373" s="1298">
        <v>22.5366</v>
      </c>
      <c r="D1373" s="1349">
        <v>0.92310286378601913</v>
      </c>
      <c r="E1373" s="1178">
        <f t="shared" si="21"/>
        <v>3</v>
      </c>
    </row>
    <row r="1374" spans="1:5" ht="14.25">
      <c r="A1374" s="1298" t="s">
        <v>2255</v>
      </c>
      <c r="B1374" s="1298">
        <v>155.37629999999999</v>
      </c>
      <c r="C1374" s="1298">
        <v>160.7535</v>
      </c>
      <c r="D1374" s="1349">
        <v>0.96655002845972249</v>
      </c>
      <c r="E1374" s="1178">
        <f t="shared" si="21"/>
        <v>3</v>
      </c>
    </row>
    <row r="1375" spans="1:5" ht="14.25">
      <c r="A1375" s="1298" t="s">
        <v>2370</v>
      </c>
      <c r="B1375" s="1298">
        <v>0.22589999999999999</v>
      </c>
      <c r="C1375" s="1298">
        <v>0.22589999999999999</v>
      </c>
      <c r="D1375" s="1349">
        <v>1</v>
      </c>
      <c r="E1375" s="1178">
        <f t="shared" si="21"/>
        <v>3</v>
      </c>
    </row>
    <row r="1376" spans="1:5" ht="14.25">
      <c r="A1376" s="1298" t="s">
        <v>2371</v>
      </c>
      <c r="B1376" s="1298">
        <v>155.60220000000001</v>
      </c>
      <c r="C1376" s="1298">
        <v>160.9794</v>
      </c>
      <c r="D1376" s="1349">
        <v>0.96659696830774622</v>
      </c>
      <c r="E1376" s="1178">
        <f t="shared" si="21"/>
        <v>3</v>
      </c>
    </row>
    <row r="1377" spans="1:5" ht="14.25">
      <c r="A1377" s="1298" t="s">
        <v>2255</v>
      </c>
      <c r="B1377" s="1298">
        <v>84.750399999999999</v>
      </c>
      <c r="C1377" s="1298">
        <v>87.0916</v>
      </c>
      <c r="D1377" s="1349">
        <v>0.97311795856316796</v>
      </c>
      <c r="E1377" s="1178">
        <f t="shared" si="21"/>
        <v>3</v>
      </c>
    </row>
    <row r="1378" spans="1:5" ht="14.25">
      <c r="A1378" s="1298" t="s">
        <v>2257</v>
      </c>
      <c r="B1378" s="1298">
        <v>45.753100000000003</v>
      </c>
      <c r="C1378" s="1298">
        <v>45.753100000000003</v>
      </c>
      <c r="D1378" s="1349">
        <v>1</v>
      </c>
      <c r="E1378" s="1178">
        <f t="shared" si="21"/>
        <v>3</v>
      </c>
    </row>
    <row r="1379" spans="1:5" ht="14.25">
      <c r="A1379" s="1298" t="s">
        <v>2371</v>
      </c>
      <c r="B1379" s="1298">
        <v>130.5035</v>
      </c>
      <c r="C1379" s="1298">
        <v>132.84469999999999</v>
      </c>
      <c r="D1379" s="1349">
        <v>0.98237641396307118</v>
      </c>
      <c r="E1379" s="1178">
        <f t="shared" si="21"/>
        <v>3</v>
      </c>
    </row>
    <row r="1380" spans="1:5" ht="14.25">
      <c r="A1380" s="1298" t="s">
        <v>2255</v>
      </c>
      <c r="B1380" s="1298">
        <v>53.481999999999999</v>
      </c>
      <c r="C1380" s="1298">
        <v>54.6402</v>
      </c>
      <c r="D1380" s="1349">
        <v>0.97880315225786141</v>
      </c>
      <c r="E1380" s="1178">
        <f t="shared" si="21"/>
        <v>3</v>
      </c>
    </row>
    <row r="1381" spans="1:5" ht="14.25">
      <c r="A1381" s="1298" t="s">
        <v>2257</v>
      </c>
      <c r="B1381" s="1298">
        <v>6.1</v>
      </c>
      <c r="C1381" s="1298">
        <v>6.1</v>
      </c>
      <c r="D1381" s="1349">
        <v>1</v>
      </c>
      <c r="E1381" s="1178">
        <f t="shared" si="21"/>
        <v>3</v>
      </c>
    </row>
    <row r="1382" spans="1:5" ht="14.25">
      <c r="A1382" s="1298" t="s">
        <v>2370</v>
      </c>
      <c r="B1382" s="1298">
        <v>0.36249999999999999</v>
      </c>
      <c r="C1382" s="1298">
        <v>0.36249999999999999</v>
      </c>
      <c r="D1382" s="1349">
        <v>1</v>
      </c>
      <c r="E1382" s="1178">
        <f t="shared" si="21"/>
        <v>3</v>
      </c>
    </row>
    <row r="1383" spans="1:5" ht="14.25">
      <c r="A1383" s="1298" t="s">
        <v>2371</v>
      </c>
      <c r="B1383" s="1298">
        <v>59.944499999999998</v>
      </c>
      <c r="C1383" s="1298">
        <v>61.102699999999999</v>
      </c>
      <c r="D1383" s="1349">
        <v>0.98104502747014455</v>
      </c>
      <c r="E1383" s="1178">
        <f t="shared" si="21"/>
        <v>3</v>
      </c>
    </row>
    <row r="1384" spans="1:5" ht="14.25">
      <c r="A1384" s="1298" t="s">
        <v>2255</v>
      </c>
      <c r="B1384" s="1298">
        <v>46.194699999999997</v>
      </c>
      <c r="C1384" s="1298">
        <v>47.945399999999999</v>
      </c>
      <c r="D1384" s="1349">
        <v>0.9634855481443475</v>
      </c>
      <c r="E1384" s="1178">
        <f t="shared" si="21"/>
        <v>3</v>
      </c>
    </row>
    <row r="1385" spans="1:5" ht="14.25">
      <c r="A1385" s="1298" t="s">
        <v>2371</v>
      </c>
      <c r="B1385" s="1298">
        <v>46.194699999999997</v>
      </c>
      <c r="C1385" s="1298">
        <v>47.945399999999999</v>
      </c>
      <c r="D1385" s="1349">
        <v>0.9634855481443475</v>
      </c>
      <c r="E1385" s="1178">
        <f t="shared" si="21"/>
        <v>3</v>
      </c>
    </row>
    <row r="1386" spans="1:5" ht="14.25">
      <c r="A1386" s="1298" t="s">
        <v>2255</v>
      </c>
      <c r="B1386" s="1298">
        <v>102.5856</v>
      </c>
      <c r="C1386" s="1298">
        <v>107.1292</v>
      </c>
      <c r="D1386" s="1349">
        <v>0.95758766050712596</v>
      </c>
      <c r="E1386" s="1178">
        <f t="shared" si="21"/>
        <v>3</v>
      </c>
    </row>
    <row r="1387" spans="1:5" ht="14.25">
      <c r="A1387" s="1298" t="s">
        <v>2370</v>
      </c>
      <c r="B1387" s="1298">
        <v>0.3</v>
      </c>
      <c r="C1387" s="1298">
        <v>0.3</v>
      </c>
      <c r="D1387" s="1349">
        <v>1</v>
      </c>
      <c r="E1387" s="1178">
        <f t="shared" si="21"/>
        <v>3</v>
      </c>
    </row>
    <row r="1388" spans="1:5" ht="14.25">
      <c r="A1388" s="1298" t="s">
        <v>2371</v>
      </c>
      <c r="B1388" s="1298">
        <v>102.8856</v>
      </c>
      <c r="C1388" s="1298">
        <v>107.42919999999999</v>
      </c>
      <c r="D1388" s="1349">
        <v>0.95770609852814692</v>
      </c>
      <c r="E1388" s="1178">
        <f t="shared" si="21"/>
        <v>3</v>
      </c>
    </row>
    <row r="1389" spans="1:5" ht="14.25">
      <c r="A1389" s="1298" t="s">
        <v>2255</v>
      </c>
      <c r="B1389" s="1298">
        <v>15.0746</v>
      </c>
      <c r="C1389" s="1298">
        <v>15.7293</v>
      </c>
      <c r="D1389" s="1349">
        <v>0.95837704157209791</v>
      </c>
      <c r="E1389" s="1178">
        <f t="shared" si="21"/>
        <v>3</v>
      </c>
    </row>
    <row r="1390" spans="1:5" ht="14.25">
      <c r="A1390" s="1298" t="s">
        <v>2371</v>
      </c>
      <c r="B1390" s="1298">
        <v>15.0746</v>
      </c>
      <c r="C1390" s="1298">
        <v>15.7293</v>
      </c>
      <c r="D1390" s="1349">
        <v>0.95837704157209791</v>
      </c>
      <c r="E1390" s="1178">
        <f t="shared" si="21"/>
        <v>3</v>
      </c>
    </row>
    <row r="1391" spans="1:5" ht="14.25">
      <c r="A1391" s="1298" t="s">
        <v>2255</v>
      </c>
      <c r="B1391" s="1298">
        <v>744.08150000000001</v>
      </c>
      <c r="C1391" s="1298">
        <v>775.56110000000001</v>
      </c>
      <c r="D1391" s="1349">
        <v>0.95941054805353188</v>
      </c>
      <c r="E1391" s="1178">
        <f t="shared" si="21"/>
        <v>3</v>
      </c>
    </row>
    <row r="1392" spans="1:5" ht="14.25">
      <c r="A1392" s="1298" t="s">
        <v>2258</v>
      </c>
      <c r="B1392" s="1298">
        <v>518.92550000000006</v>
      </c>
      <c r="C1392" s="1298">
        <v>560.62909999999999</v>
      </c>
      <c r="D1392" s="1349">
        <v>0.92561285170534313</v>
      </c>
      <c r="E1392" s="1178">
        <f t="shared" si="21"/>
        <v>3</v>
      </c>
    </row>
    <row r="1393" spans="1:5" ht="14.25">
      <c r="A1393" s="1298" t="s">
        <v>2257</v>
      </c>
      <c r="B1393" s="1298">
        <v>64.556299999999993</v>
      </c>
      <c r="C1393" s="1298">
        <v>64.933899999999994</v>
      </c>
      <c r="D1393" s="1349">
        <v>0.99418485567631087</v>
      </c>
      <c r="E1393" s="1178">
        <f t="shared" si="21"/>
        <v>3</v>
      </c>
    </row>
    <row r="1394" spans="1:5" ht="14.25">
      <c r="A1394" s="1298" t="s">
        <v>2370</v>
      </c>
      <c r="B1394" s="1298">
        <v>2.0966</v>
      </c>
      <c r="C1394" s="1298">
        <v>2.0966</v>
      </c>
      <c r="D1394" s="1349">
        <v>1</v>
      </c>
      <c r="E1394" s="1178">
        <f t="shared" si="21"/>
        <v>3</v>
      </c>
    </row>
    <row r="1395" spans="1:5" ht="14.25">
      <c r="A1395" s="1298" t="s">
        <v>2371</v>
      </c>
      <c r="B1395" s="1298">
        <v>1329.6599000000001</v>
      </c>
      <c r="C1395" s="1298">
        <v>1403.2207000000001</v>
      </c>
      <c r="D1395" s="1349">
        <v>0.94757717014864451</v>
      </c>
      <c r="E1395" s="1178">
        <f t="shared" si="21"/>
        <v>3</v>
      </c>
    </row>
    <row r="1396" spans="1:5" ht="14.25">
      <c r="A1396" s="1298" t="s">
        <v>2255</v>
      </c>
      <c r="B1396" s="1298">
        <v>93.793000000000006</v>
      </c>
      <c r="C1396" s="1298">
        <v>95.542299999999997</v>
      </c>
      <c r="D1396" s="1349">
        <v>0.98169083222823816</v>
      </c>
      <c r="E1396" s="1178">
        <f t="shared" si="21"/>
        <v>3</v>
      </c>
    </row>
    <row r="1397" spans="1:5" ht="14.25">
      <c r="A1397" s="1298" t="s">
        <v>2258</v>
      </c>
      <c r="B1397" s="1298">
        <v>116.4421</v>
      </c>
      <c r="C1397" s="1298">
        <v>119.54940000000001</v>
      </c>
      <c r="D1397" s="1349">
        <v>0.97400823425295313</v>
      </c>
      <c r="E1397" s="1178">
        <f t="shared" si="21"/>
        <v>3</v>
      </c>
    </row>
    <row r="1398" spans="1:5" ht="14.25">
      <c r="A1398" s="1298" t="s">
        <v>2257</v>
      </c>
      <c r="B1398" s="1298">
        <v>45.248600000000003</v>
      </c>
      <c r="C1398" s="1298">
        <v>45.248600000000003</v>
      </c>
      <c r="D1398" s="1349">
        <v>1</v>
      </c>
      <c r="E1398" s="1178">
        <f t="shared" si="21"/>
        <v>3</v>
      </c>
    </row>
    <row r="1399" spans="1:5" ht="14.25">
      <c r="A1399" s="1298" t="s">
        <v>2370</v>
      </c>
      <c r="B1399" s="1298">
        <v>0.72960000000000003</v>
      </c>
      <c r="C1399" s="1298">
        <v>0.78010000000000002</v>
      </c>
      <c r="D1399" s="1349">
        <v>0.93526470965260866</v>
      </c>
      <c r="E1399" s="1178">
        <f t="shared" si="21"/>
        <v>3</v>
      </c>
    </row>
    <row r="1400" spans="1:5" ht="14.25">
      <c r="A1400" s="1298" t="s">
        <v>2371</v>
      </c>
      <c r="B1400" s="1298">
        <v>256.2133</v>
      </c>
      <c r="C1400" s="1298">
        <v>261.12040000000002</v>
      </c>
      <c r="D1400" s="1349">
        <v>0.98120751959632413</v>
      </c>
      <c r="E1400" s="1178">
        <f t="shared" si="21"/>
        <v>3</v>
      </c>
    </row>
    <row r="1401" spans="1:5" ht="14.25">
      <c r="A1401" s="1298" t="s">
        <v>2255</v>
      </c>
      <c r="B1401" s="1298">
        <v>70.742199999999997</v>
      </c>
      <c r="C1401" s="1298">
        <v>71.866200000000006</v>
      </c>
      <c r="D1401" s="1349">
        <v>0.98435982422891433</v>
      </c>
      <c r="E1401" s="1178">
        <f t="shared" si="21"/>
        <v>3</v>
      </c>
    </row>
    <row r="1402" spans="1:5" ht="14.25">
      <c r="A1402" s="1298" t="s">
        <v>2257</v>
      </c>
      <c r="B1402" s="1298">
        <v>0.3</v>
      </c>
      <c r="C1402" s="1298">
        <v>0.3</v>
      </c>
      <c r="D1402" s="1349">
        <v>1</v>
      </c>
      <c r="E1402" s="1178">
        <f t="shared" si="21"/>
        <v>3</v>
      </c>
    </row>
    <row r="1403" spans="1:5" ht="14.25">
      <c r="A1403" s="1298" t="s">
        <v>2370</v>
      </c>
      <c r="B1403" s="1298">
        <v>0.1913</v>
      </c>
      <c r="C1403" s="1298">
        <v>0.1913</v>
      </c>
      <c r="D1403" s="1349">
        <v>1</v>
      </c>
      <c r="E1403" s="1178">
        <f t="shared" si="21"/>
        <v>3</v>
      </c>
    </row>
    <row r="1404" spans="1:5" ht="14.25">
      <c r="A1404" s="1298" t="s">
        <v>2371</v>
      </c>
      <c r="B1404" s="1298">
        <v>71.233500000000006</v>
      </c>
      <c r="C1404" s="1298">
        <v>72.357500000000002</v>
      </c>
      <c r="D1404" s="1349">
        <v>0.98446601941747569</v>
      </c>
      <c r="E1404" s="1178">
        <f t="shared" si="21"/>
        <v>3</v>
      </c>
    </row>
    <row r="1405" spans="1:5" ht="14.25">
      <c r="A1405" s="1298" t="s">
        <v>2255</v>
      </c>
      <c r="B1405" s="1298">
        <v>26.691800000000001</v>
      </c>
      <c r="C1405" s="1298">
        <v>29.112500000000001</v>
      </c>
      <c r="D1405" s="1349">
        <v>0.91685015027908978</v>
      </c>
      <c r="E1405" s="1178">
        <f t="shared" si="21"/>
        <v>3</v>
      </c>
    </row>
    <row r="1406" spans="1:5" ht="14.25">
      <c r="A1406" s="1298" t="s">
        <v>2371</v>
      </c>
      <c r="B1406" s="1298">
        <v>26.691800000000001</v>
      </c>
      <c r="C1406" s="1298">
        <v>29.112500000000001</v>
      </c>
      <c r="D1406" s="1349">
        <v>0.91685015027908978</v>
      </c>
      <c r="E1406" s="1178">
        <f t="shared" si="21"/>
        <v>3</v>
      </c>
    </row>
    <row r="1407" spans="1:5" ht="14.25">
      <c r="A1407" s="1298" t="s">
        <v>2255</v>
      </c>
      <c r="B1407" s="1298">
        <v>191.227</v>
      </c>
      <c r="C1407" s="1298">
        <v>196.52099999999999</v>
      </c>
      <c r="D1407" s="1349">
        <v>0.97306140310704703</v>
      </c>
      <c r="E1407" s="1178">
        <f t="shared" si="21"/>
        <v>3</v>
      </c>
    </row>
    <row r="1408" spans="1:5" ht="14.25">
      <c r="A1408" s="1298" t="s">
        <v>2258</v>
      </c>
      <c r="B1408" s="1298">
        <v>116.4421</v>
      </c>
      <c r="C1408" s="1298">
        <v>119.54940000000001</v>
      </c>
      <c r="D1408" s="1349">
        <v>0.97400823425295313</v>
      </c>
      <c r="E1408" s="1178">
        <f t="shared" si="21"/>
        <v>3</v>
      </c>
    </row>
    <row r="1409" spans="1:5" ht="14.25">
      <c r="A1409" s="1298" t="s">
        <v>2257</v>
      </c>
      <c r="B1409" s="1298">
        <v>45.5486</v>
      </c>
      <c r="C1409" s="1298">
        <v>45.5486</v>
      </c>
      <c r="D1409" s="1349">
        <v>1</v>
      </c>
      <c r="E1409" s="1178">
        <f t="shared" si="21"/>
        <v>3</v>
      </c>
    </row>
    <row r="1410" spans="1:5" ht="14.25">
      <c r="A1410" s="1298" t="s">
        <v>2370</v>
      </c>
      <c r="B1410" s="1298">
        <v>0.92090000000000005</v>
      </c>
      <c r="C1410" s="1298">
        <v>0.97140000000000004</v>
      </c>
      <c r="D1410" s="1349">
        <v>0.9480131768581429</v>
      </c>
      <c r="E1410" s="1178">
        <f t="shared" si="21"/>
        <v>3</v>
      </c>
    </row>
    <row r="1411" spans="1:5" ht="14.25">
      <c r="A1411" s="1298" t="s">
        <v>2371</v>
      </c>
      <c r="B1411" s="1298">
        <v>354.1386</v>
      </c>
      <c r="C1411" s="1298">
        <v>362.59039999999999</v>
      </c>
      <c r="D1411" s="1349">
        <v>0.97669050256156809</v>
      </c>
      <c r="E1411" s="1178">
        <f t="shared" ref="E1411:E1450" si="22">IF(D1411&gt;0.9,3,IF(D1411&gt;0.8,1.5,0))</f>
        <v>3</v>
      </c>
    </row>
    <row r="1412" spans="1:5" ht="14.25">
      <c r="A1412" s="1298" t="s">
        <v>2255</v>
      </c>
      <c r="B1412" s="1298">
        <v>233.52279999999999</v>
      </c>
      <c r="C1412" s="1298">
        <v>256.2355</v>
      </c>
      <c r="D1412" s="1349">
        <v>0.91136005744715309</v>
      </c>
      <c r="E1412" s="1178">
        <f t="shared" si="22"/>
        <v>3</v>
      </c>
    </row>
    <row r="1413" spans="1:5" ht="14.25">
      <c r="A1413" s="1298" t="s">
        <v>2258</v>
      </c>
      <c r="B1413" s="1298">
        <v>56.2669</v>
      </c>
      <c r="C1413" s="1298">
        <v>57.166800000000002</v>
      </c>
      <c r="D1413" s="1349">
        <v>0.98425834575312943</v>
      </c>
      <c r="E1413" s="1178">
        <f t="shared" si="22"/>
        <v>3</v>
      </c>
    </row>
    <row r="1414" spans="1:5" ht="14.25">
      <c r="A1414" s="1298" t="s">
        <v>2257</v>
      </c>
      <c r="B1414" s="1298">
        <v>58.584800000000001</v>
      </c>
      <c r="C1414" s="1298">
        <v>58.962400000000002</v>
      </c>
      <c r="D1414" s="1349">
        <v>0.99359591875500319</v>
      </c>
      <c r="E1414" s="1178">
        <f t="shared" si="22"/>
        <v>3</v>
      </c>
    </row>
    <row r="1415" spans="1:5" ht="14.25">
      <c r="A1415" s="1298" t="s">
        <v>2371</v>
      </c>
      <c r="B1415" s="1298">
        <v>348.37450000000001</v>
      </c>
      <c r="C1415" s="1298">
        <v>372.36470000000003</v>
      </c>
      <c r="D1415" s="1349">
        <v>0.93557337739049917</v>
      </c>
      <c r="E1415" s="1178">
        <f t="shared" si="22"/>
        <v>3</v>
      </c>
    </row>
    <row r="1416" spans="1:5" ht="14.25">
      <c r="A1416" s="1298" t="s">
        <v>2255</v>
      </c>
      <c r="B1416" s="1298">
        <v>34.491999999999997</v>
      </c>
      <c r="C1416" s="1298">
        <v>36.406300000000002</v>
      </c>
      <c r="D1416" s="1349">
        <v>0.94741844131372865</v>
      </c>
      <c r="E1416" s="1178">
        <f t="shared" si="22"/>
        <v>3</v>
      </c>
    </row>
    <row r="1417" spans="1:5" ht="14.25">
      <c r="A1417" s="1298" t="s">
        <v>2257</v>
      </c>
      <c r="B1417" s="1298">
        <v>28.419599999999999</v>
      </c>
      <c r="C1417" s="1298">
        <v>30.0748</v>
      </c>
      <c r="D1417" s="1349">
        <v>0.94496389003418146</v>
      </c>
      <c r="E1417" s="1178">
        <f t="shared" si="22"/>
        <v>3</v>
      </c>
    </row>
    <row r="1418" spans="1:5" ht="14.25">
      <c r="A1418" s="1298" t="s">
        <v>2371</v>
      </c>
      <c r="B1418" s="1298">
        <v>62.9116</v>
      </c>
      <c r="C1418" s="1298">
        <v>66.481099999999998</v>
      </c>
      <c r="D1418" s="1349">
        <v>0.94630804845286853</v>
      </c>
      <c r="E1418" s="1178">
        <f t="shared" si="22"/>
        <v>3</v>
      </c>
    </row>
    <row r="1419" spans="1:5" ht="14.25">
      <c r="A1419" s="1298" t="s">
        <v>2255</v>
      </c>
      <c r="B1419" s="1298">
        <v>24.248200000000001</v>
      </c>
      <c r="C1419" s="1298">
        <v>24.3597</v>
      </c>
      <c r="D1419" s="1349">
        <v>0.99542276793228157</v>
      </c>
      <c r="E1419" s="1178">
        <f t="shared" si="22"/>
        <v>3</v>
      </c>
    </row>
    <row r="1420" spans="1:5" ht="14.25">
      <c r="A1420" s="1298" t="s">
        <v>2371</v>
      </c>
      <c r="B1420" s="1298">
        <v>24.248200000000001</v>
      </c>
      <c r="C1420" s="1298">
        <v>24.3597</v>
      </c>
      <c r="D1420" s="1349">
        <v>0.99542276793228157</v>
      </c>
      <c r="E1420" s="1178">
        <f t="shared" si="22"/>
        <v>3</v>
      </c>
    </row>
    <row r="1421" spans="1:5" ht="14.25">
      <c r="A1421" s="1298" t="s">
        <v>2255</v>
      </c>
      <c r="B1421" s="1298">
        <v>47.143999999999998</v>
      </c>
      <c r="C1421" s="1298">
        <v>47.1736</v>
      </c>
      <c r="D1421" s="1349">
        <v>0.99937253039835838</v>
      </c>
      <c r="E1421" s="1178">
        <f t="shared" si="22"/>
        <v>3</v>
      </c>
    </row>
    <row r="1422" spans="1:5" ht="14.25">
      <c r="A1422" s="1298" t="s">
        <v>2371</v>
      </c>
      <c r="B1422" s="1298">
        <v>47.143999999999998</v>
      </c>
      <c r="C1422" s="1298">
        <v>47.1736</v>
      </c>
      <c r="D1422" s="1349">
        <v>0.99937253039835838</v>
      </c>
      <c r="E1422" s="1178">
        <f t="shared" si="22"/>
        <v>3</v>
      </c>
    </row>
    <row r="1423" spans="1:5" ht="14.25">
      <c r="A1423" s="1298" t="s">
        <v>2255</v>
      </c>
      <c r="B1423" s="1298">
        <v>9.7089999999999996</v>
      </c>
      <c r="C1423" s="1298">
        <v>9.9120000000000008</v>
      </c>
      <c r="D1423" s="1349">
        <v>0.97951977401129942</v>
      </c>
      <c r="E1423" s="1178">
        <f t="shared" si="22"/>
        <v>3</v>
      </c>
    </row>
    <row r="1424" spans="1:5" ht="14.25">
      <c r="A1424" s="1298" t="s">
        <v>2371</v>
      </c>
      <c r="B1424" s="1298">
        <v>9.7089999999999996</v>
      </c>
      <c r="C1424" s="1298">
        <v>9.9120000000000008</v>
      </c>
      <c r="D1424" s="1349">
        <v>0.97951977401129942</v>
      </c>
      <c r="E1424" s="1178">
        <f t="shared" si="22"/>
        <v>3</v>
      </c>
    </row>
    <row r="1425" spans="1:5" ht="14.25">
      <c r="A1425" s="1298" t="s">
        <v>2255</v>
      </c>
      <c r="B1425" s="1298">
        <v>349.11599999999999</v>
      </c>
      <c r="C1425" s="1298">
        <v>374.08710000000002</v>
      </c>
      <c r="D1425" s="1349">
        <v>0.93324789868455771</v>
      </c>
      <c r="E1425" s="1178">
        <f t="shared" si="22"/>
        <v>3</v>
      </c>
    </row>
    <row r="1426" spans="1:5" ht="14.25">
      <c r="A1426" s="1298" t="s">
        <v>2258</v>
      </c>
      <c r="B1426" s="1298">
        <v>56.2669</v>
      </c>
      <c r="C1426" s="1298">
        <v>57.166800000000002</v>
      </c>
      <c r="D1426" s="1349">
        <v>0.98425834575312943</v>
      </c>
      <c r="E1426" s="1178">
        <f t="shared" si="22"/>
        <v>3</v>
      </c>
    </row>
    <row r="1427" spans="1:5" ht="14.25">
      <c r="A1427" s="1298" t="s">
        <v>2257</v>
      </c>
      <c r="B1427" s="1298">
        <v>87.004400000000004</v>
      </c>
      <c r="C1427" s="1298">
        <v>89.037199999999999</v>
      </c>
      <c r="D1427" s="1349">
        <v>0.97716909336771596</v>
      </c>
      <c r="E1427" s="1178">
        <f t="shared" si="22"/>
        <v>3</v>
      </c>
    </row>
    <row r="1428" spans="1:5" ht="14.25">
      <c r="A1428" s="1298" t="s">
        <v>2371</v>
      </c>
      <c r="B1428" s="1298">
        <v>492.38729999999998</v>
      </c>
      <c r="C1428" s="1298">
        <v>520.29110000000003</v>
      </c>
      <c r="D1428" s="1349">
        <v>0.94636886927337405</v>
      </c>
      <c r="E1428" s="1178">
        <f t="shared" si="22"/>
        <v>3</v>
      </c>
    </row>
    <row r="1429" spans="1:5" ht="14.25">
      <c r="A1429" s="1298" t="s">
        <v>2255</v>
      </c>
      <c r="B1429" s="1298">
        <v>113.1639</v>
      </c>
      <c r="C1429" s="1298">
        <v>121.4572</v>
      </c>
      <c r="D1429" s="1349">
        <v>0.93171833370108981</v>
      </c>
      <c r="E1429" s="1178">
        <f t="shared" si="22"/>
        <v>3</v>
      </c>
    </row>
    <row r="1430" spans="1:5" ht="14.25">
      <c r="A1430" s="1298" t="s">
        <v>2257</v>
      </c>
      <c r="B1430" s="1298">
        <v>88.188800000000001</v>
      </c>
      <c r="C1430" s="1298">
        <v>91.988799999999998</v>
      </c>
      <c r="D1430" s="1349">
        <v>0.95869062320630338</v>
      </c>
      <c r="E1430" s="1178">
        <f t="shared" si="22"/>
        <v>3</v>
      </c>
    </row>
    <row r="1431" spans="1:5" ht="14.25">
      <c r="A1431" s="1298" t="s">
        <v>2370</v>
      </c>
      <c r="B1431" s="1298">
        <v>1.1566000000000001</v>
      </c>
      <c r="C1431" s="1298">
        <v>1.1566000000000001</v>
      </c>
      <c r="D1431" s="1349">
        <v>1</v>
      </c>
      <c r="E1431" s="1178">
        <f t="shared" si="22"/>
        <v>3</v>
      </c>
    </row>
    <row r="1432" spans="1:5" ht="14.25">
      <c r="A1432" s="1298" t="s">
        <v>2371</v>
      </c>
      <c r="B1432" s="1298">
        <v>202.5093</v>
      </c>
      <c r="C1432" s="1298">
        <v>214.6026</v>
      </c>
      <c r="D1432" s="1349">
        <v>0.94364793343603481</v>
      </c>
      <c r="E1432" s="1178">
        <f t="shared" si="22"/>
        <v>3</v>
      </c>
    </row>
    <row r="1433" spans="1:5" ht="14.25">
      <c r="A1433" s="1298" t="s">
        <v>2255</v>
      </c>
      <c r="B1433" s="1298">
        <v>59.319499999999998</v>
      </c>
      <c r="C1433" s="1298">
        <v>60.881300000000003</v>
      </c>
      <c r="D1433" s="1349">
        <v>0.97434680271281982</v>
      </c>
      <c r="E1433" s="1178">
        <f t="shared" si="22"/>
        <v>3</v>
      </c>
    </row>
    <row r="1434" spans="1:5" ht="14.25">
      <c r="A1434" s="1298" t="s">
        <v>2258</v>
      </c>
      <c r="B1434" s="1298">
        <v>34.513199999999998</v>
      </c>
      <c r="C1434" s="1298">
        <v>35.561500000000002</v>
      </c>
      <c r="D1434" s="1349">
        <v>0.97052149093823381</v>
      </c>
      <c r="E1434" s="1178">
        <f t="shared" si="22"/>
        <v>3</v>
      </c>
    </row>
    <row r="1435" spans="1:5" ht="14.25">
      <c r="A1435" s="1298" t="s">
        <v>2257</v>
      </c>
      <c r="B1435" s="1298">
        <v>1.1217999999999999</v>
      </c>
      <c r="C1435" s="1298">
        <v>1.1217999999999999</v>
      </c>
      <c r="D1435" s="1349">
        <v>1</v>
      </c>
      <c r="E1435" s="1178">
        <f t="shared" si="22"/>
        <v>3</v>
      </c>
    </row>
    <row r="1436" spans="1:5" ht="14.25">
      <c r="A1436" s="1298" t="s">
        <v>2370</v>
      </c>
      <c r="B1436" s="1298">
        <v>0.28789999999999999</v>
      </c>
      <c r="C1436" s="1298">
        <v>0.28789999999999999</v>
      </c>
      <c r="D1436" s="1349">
        <v>1</v>
      </c>
      <c r="E1436" s="1178">
        <f t="shared" si="22"/>
        <v>3</v>
      </c>
    </row>
    <row r="1437" spans="1:5" ht="14.25">
      <c r="A1437" s="1298" t="s">
        <v>2371</v>
      </c>
      <c r="B1437" s="1298">
        <v>95.242400000000004</v>
      </c>
      <c r="C1437" s="1298">
        <v>97.852500000000006</v>
      </c>
      <c r="D1437" s="1349">
        <v>0.97332617970925628</v>
      </c>
      <c r="E1437" s="1178">
        <f t="shared" si="22"/>
        <v>3</v>
      </c>
    </row>
    <row r="1438" spans="1:5" ht="14.25">
      <c r="A1438" s="1298" t="s">
        <v>2255</v>
      </c>
      <c r="B1438" s="1298">
        <v>22.3962</v>
      </c>
      <c r="C1438" s="1298">
        <v>22.807300000000001</v>
      </c>
      <c r="D1438" s="1349">
        <v>0.98197506938567913</v>
      </c>
      <c r="E1438" s="1178">
        <f t="shared" si="22"/>
        <v>3</v>
      </c>
    </row>
    <row r="1439" spans="1:5" ht="14.25">
      <c r="A1439" s="1298" t="s">
        <v>2257</v>
      </c>
      <c r="B1439" s="1298">
        <v>11.6614</v>
      </c>
      <c r="C1439" s="1298">
        <v>18.039000000000001</v>
      </c>
      <c r="D1439" s="1349">
        <v>0.64645490326514776</v>
      </c>
      <c r="E1439" s="1178">
        <f t="shared" si="22"/>
        <v>0</v>
      </c>
    </row>
    <row r="1440" spans="1:5" ht="14.25">
      <c r="A1440" s="1298" t="s">
        <v>2371</v>
      </c>
      <c r="B1440" s="1298">
        <v>34.057600000000001</v>
      </c>
      <c r="C1440" s="1298">
        <v>40.846299999999999</v>
      </c>
      <c r="D1440" s="1349">
        <v>0.83379889977794808</v>
      </c>
      <c r="E1440" s="1178">
        <f t="shared" si="22"/>
        <v>1.5</v>
      </c>
    </row>
    <row r="1441" spans="1:5" ht="14.25">
      <c r="A1441" s="1298" t="s">
        <v>2255</v>
      </c>
      <c r="B1441" s="1298">
        <v>81.715699999999998</v>
      </c>
      <c r="C1441" s="1298">
        <v>83.688599999999994</v>
      </c>
      <c r="D1441" s="1349">
        <v>0.97642570194745759</v>
      </c>
      <c r="E1441" s="1178">
        <f t="shared" si="22"/>
        <v>3</v>
      </c>
    </row>
    <row r="1442" spans="1:5" ht="14.25">
      <c r="A1442" s="1298" t="s">
        <v>2258</v>
      </c>
      <c r="B1442" s="1298">
        <v>34.513199999999998</v>
      </c>
      <c r="C1442" s="1298">
        <v>35.561500000000002</v>
      </c>
      <c r="D1442" s="1349">
        <v>0.97052149093823381</v>
      </c>
      <c r="E1442" s="1178">
        <f t="shared" si="22"/>
        <v>3</v>
      </c>
    </row>
    <row r="1443" spans="1:5" ht="14.25">
      <c r="A1443" s="1298" t="s">
        <v>2257</v>
      </c>
      <c r="B1443" s="1298">
        <v>12.783200000000001</v>
      </c>
      <c r="C1443" s="1298">
        <v>19.160799999999998</v>
      </c>
      <c r="D1443" s="1349">
        <v>0.66715377228508199</v>
      </c>
      <c r="E1443" s="1178">
        <f t="shared" si="22"/>
        <v>0</v>
      </c>
    </row>
    <row r="1444" spans="1:5" ht="14.25">
      <c r="A1444" s="1298" t="s">
        <v>2370</v>
      </c>
      <c r="B1444" s="1298">
        <v>0.28789999999999999</v>
      </c>
      <c r="C1444" s="1298">
        <v>0.28789999999999999</v>
      </c>
      <c r="D1444" s="1349">
        <v>1</v>
      </c>
      <c r="E1444" s="1178">
        <f t="shared" si="22"/>
        <v>3</v>
      </c>
    </row>
    <row r="1445" spans="1:5" ht="14.25">
      <c r="A1445" s="1298" t="s">
        <v>2371</v>
      </c>
      <c r="B1445" s="1298">
        <v>129.30000000000001</v>
      </c>
      <c r="C1445" s="1298">
        <v>138.69880000000001</v>
      </c>
      <c r="D1445" s="1349">
        <v>0.93223589533579243</v>
      </c>
      <c r="E1445" s="1178">
        <f t="shared" si="22"/>
        <v>3</v>
      </c>
    </row>
    <row r="1446" spans="1:5" ht="14.25">
      <c r="A1446" s="1298" t="s">
        <v>2255</v>
      </c>
      <c r="B1446" s="1298">
        <v>5142.0715</v>
      </c>
      <c r="C1446" s="1298">
        <v>5324.0443999999998</v>
      </c>
      <c r="D1446" s="1349">
        <v>0.965820551759486</v>
      </c>
      <c r="E1446" s="1178">
        <f t="shared" si="22"/>
        <v>3</v>
      </c>
    </row>
    <row r="1447" spans="1:5" ht="14.25">
      <c r="A1447" s="1298" t="s">
        <v>2258</v>
      </c>
      <c r="B1447" s="1298">
        <v>1178.6717000000001</v>
      </c>
      <c r="C1447" s="1298">
        <v>1241.0834</v>
      </c>
      <c r="D1447" s="1349">
        <v>0.94971192105220326</v>
      </c>
      <c r="E1447" s="1178">
        <f t="shared" si="22"/>
        <v>3</v>
      </c>
    </row>
    <row r="1448" spans="1:5" ht="14.25">
      <c r="A1448" s="1298" t="s">
        <v>2257</v>
      </c>
      <c r="B1448" s="1298">
        <v>744.85699999999997</v>
      </c>
      <c r="C1448" s="1298">
        <v>767.59960000000001</v>
      </c>
      <c r="D1448" s="1349">
        <v>0.97037179279405561</v>
      </c>
      <c r="E1448" s="1178">
        <f t="shared" si="22"/>
        <v>3</v>
      </c>
    </row>
    <row r="1449" spans="1:5" ht="14.25">
      <c r="A1449" s="1298" t="s">
        <v>2370</v>
      </c>
      <c r="B1449" s="1298">
        <v>14.0808</v>
      </c>
      <c r="C1449" s="1298">
        <v>14.128299999999999</v>
      </c>
      <c r="D1449" s="1349">
        <v>0.99663795361083785</v>
      </c>
      <c r="E1449" s="1178">
        <f t="shared" si="22"/>
        <v>3</v>
      </c>
    </row>
    <row r="1450" spans="1:5" ht="14.25">
      <c r="A1450" s="1298" t="s">
        <v>2371</v>
      </c>
      <c r="B1450" s="1298">
        <v>7079.6809999999996</v>
      </c>
      <c r="C1450" s="1298">
        <v>7346.8557000000001</v>
      </c>
      <c r="D1450" s="1349">
        <v>0.96363414351529997</v>
      </c>
      <c r="E1450" s="1178">
        <f t="shared" si="22"/>
        <v>3</v>
      </c>
    </row>
  </sheetData>
  <phoneticPr fontId="3" type="noConversion"/>
  <hyperlinks>
    <hyperlink ref="G23" location="'总公司绩效-II'!A1" display="总公司绩效-II"/>
    <hyperlink ref="G24" location="目录!A1" display="目录"/>
    <hyperlink ref="G25" location="'OR04-分公司销售、承保、保全'!A1" display="OR04"/>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00B0F0"/>
  </sheetPr>
  <dimension ref="A1:G10"/>
  <sheetViews>
    <sheetView workbookViewId="0">
      <selection activeCell="D25" sqref="D25"/>
    </sheetView>
  </sheetViews>
  <sheetFormatPr defaultRowHeight="13.5"/>
  <cols>
    <col min="4" max="4" width="10.375" customWidth="1"/>
    <col min="5" max="5" width="9.375" bestFit="1" customWidth="1"/>
  </cols>
  <sheetData>
    <row r="1" spans="1:7">
      <c r="B1" s="32" t="s">
        <v>2386</v>
      </c>
      <c r="C1" s="32" t="s">
        <v>2387</v>
      </c>
      <c r="D1" s="32" t="s">
        <v>2388</v>
      </c>
      <c r="E1" s="32" t="s">
        <v>2389</v>
      </c>
      <c r="F1" t="s">
        <v>2390</v>
      </c>
      <c r="G1" s="32" t="s">
        <v>2391</v>
      </c>
    </row>
    <row r="2" spans="1:7" ht="14.25">
      <c r="A2" s="401" t="s">
        <v>1672</v>
      </c>
      <c r="B2" s="1298">
        <v>6676965</v>
      </c>
      <c r="C2" s="1298">
        <v>7465235.2700000023</v>
      </c>
      <c r="D2" s="1298">
        <v>496961443.49000031</v>
      </c>
      <c r="E2" s="1298">
        <v>203741891</v>
      </c>
      <c r="F2" s="1176">
        <f>(B2+C2)/(D2+E2)</f>
        <v>2.0182864236393649E-2</v>
      </c>
      <c r="G2" s="401">
        <f>IF(F2&gt;10%,0,IF(F2&gt;5%,1.5,3))</f>
        <v>3</v>
      </c>
    </row>
    <row r="3" spans="1:7" ht="14.25">
      <c r="A3" s="401" t="s">
        <v>1674</v>
      </c>
      <c r="B3" s="1298">
        <v>20973942</v>
      </c>
      <c r="C3" s="1298">
        <v>12225514.550000001</v>
      </c>
      <c r="D3" s="1298">
        <v>166240672.19</v>
      </c>
      <c r="E3" s="1298">
        <v>102044119</v>
      </c>
      <c r="F3" s="1176">
        <f t="shared" ref="F3:F5" si="0">(B3+C3)/(D3+E3)</f>
        <v>0.1237470689364872</v>
      </c>
      <c r="G3" s="401">
        <f t="shared" ref="G3:G5" si="1">IF(F3&gt;10%,0,IF(F3&gt;5%,1.5,3))</f>
        <v>0</v>
      </c>
    </row>
    <row r="4" spans="1:7" ht="14.25">
      <c r="A4" t="s">
        <v>1675</v>
      </c>
      <c r="B4" s="1298">
        <v>2568788</v>
      </c>
      <c r="C4" s="1298">
        <v>1867322.9700000002</v>
      </c>
      <c r="D4" s="1298">
        <v>96714141.520000011</v>
      </c>
      <c r="E4" s="1298">
        <v>75506026</v>
      </c>
      <c r="F4" s="1176">
        <f t="shared" si="0"/>
        <v>2.5758371007767327E-2</v>
      </c>
      <c r="G4" s="401">
        <f t="shared" si="1"/>
        <v>3</v>
      </c>
    </row>
    <row r="5" spans="1:7" ht="14.25">
      <c r="A5" s="401" t="s">
        <v>1676</v>
      </c>
      <c r="B5" s="1298">
        <v>43661</v>
      </c>
      <c r="C5" s="1298">
        <v>61517.67</v>
      </c>
      <c r="D5" s="1298">
        <v>5122609.0899999989</v>
      </c>
      <c r="E5" s="1298">
        <v>2402797</v>
      </c>
      <c r="F5" s="1176">
        <f t="shared" si="0"/>
        <v>1.397647764680298E-2</v>
      </c>
      <c r="G5" s="401">
        <f t="shared" si="1"/>
        <v>3</v>
      </c>
    </row>
    <row r="8" spans="1:7">
      <c r="A8" s="860" t="s">
        <v>2466</v>
      </c>
    </row>
    <row r="9" spans="1:7">
      <c r="A9" s="860" t="s">
        <v>2467</v>
      </c>
    </row>
    <row r="10" spans="1:7">
      <c r="A10" s="860" t="s">
        <v>2468</v>
      </c>
    </row>
  </sheetData>
  <phoneticPr fontId="3" type="noConversion"/>
  <hyperlinks>
    <hyperlink ref="A8" location="'总公司绩效-II'!A1" display="总公司绩效-II"/>
    <hyperlink ref="A9" location="目录!A1" display="目录"/>
    <hyperlink ref="A10" location="'OR04-分公司销售、承保、保全'!A1" display="OR04"/>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3"/>
  </sheetPr>
  <dimension ref="A1:AA120"/>
  <sheetViews>
    <sheetView workbookViewId="0">
      <pane xSplit="4" ySplit="1" topLeftCell="E77" activePane="bottomRight" state="frozenSplit"/>
      <selection pane="topRight" activeCell="P1" sqref="P1"/>
      <selection pane="bottomLeft" activeCell="A15" sqref="A15"/>
      <selection pane="bottomRight" activeCell="L107" sqref="L107"/>
    </sheetView>
  </sheetViews>
  <sheetFormatPr defaultRowHeight="13.5"/>
  <cols>
    <col min="1" max="1" width="8" customWidth="1"/>
    <col min="2" max="2" width="48.125" customWidth="1"/>
    <col min="3" max="3" width="9.25" bestFit="1" customWidth="1"/>
    <col min="4" max="4" width="8.375" customWidth="1"/>
    <col min="5" max="5" width="7.25" customWidth="1"/>
    <col min="6" max="8" width="7.25" bestFit="1" customWidth="1"/>
    <col min="9" max="10" width="7.25" customWidth="1"/>
    <col min="11" max="14" width="7.25" bestFit="1" customWidth="1"/>
    <col min="15" max="15" width="14.375" customWidth="1"/>
    <col min="16" max="16" width="13.125" style="1061" bestFit="1" customWidth="1"/>
    <col min="17" max="17" width="13.125" style="1061" customWidth="1"/>
    <col min="18" max="19" width="6" customWidth="1"/>
    <col min="21" max="21" width="7.75" customWidth="1"/>
    <col min="22" max="22" width="8.875" customWidth="1"/>
    <col min="23" max="23" width="7.875" customWidth="1"/>
    <col min="26" max="26" width="6.875" customWidth="1"/>
  </cols>
  <sheetData>
    <row r="1" spans="1:17" ht="15">
      <c r="A1" s="773" t="s">
        <v>2125</v>
      </c>
      <c r="B1" s="773" t="s">
        <v>2126</v>
      </c>
      <c r="C1" s="773" t="s">
        <v>2127</v>
      </c>
      <c r="D1" s="773" t="s">
        <v>2128</v>
      </c>
      <c r="E1" s="1063" t="s">
        <v>1186</v>
      </c>
      <c r="F1" s="1063" t="s">
        <v>1187</v>
      </c>
      <c r="G1" s="1063" t="s">
        <v>1188</v>
      </c>
      <c r="H1" s="1063" t="s">
        <v>1189</v>
      </c>
      <c r="I1" s="1063" t="s">
        <v>1190</v>
      </c>
      <c r="J1" s="1063" t="s">
        <v>1191</v>
      </c>
      <c r="K1" s="1063" t="s">
        <v>1192</v>
      </c>
      <c r="L1" s="1063" t="s">
        <v>1193</v>
      </c>
      <c r="M1" s="1063" t="s">
        <v>1194</v>
      </c>
      <c r="N1" s="1063" t="s">
        <v>1195</v>
      </c>
      <c r="O1" s="681" t="s">
        <v>2189</v>
      </c>
    </row>
    <row r="2" spans="1:17" ht="14.25">
      <c r="A2" s="1439" t="s">
        <v>2208</v>
      </c>
      <c r="B2" s="1091" t="s">
        <v>1205</v>
      </c>
      <c r="C2" s="1092">
        <f t="shared" ref="C2:C53" si="0">70%*(1/18)</f>
        <v>3.8888888888888883E-2</v>
      </c>
      <c r="D2" s="1086">
        <v>3</v>
      </c>
      <c r="E2" s="1069">
        <v>3</v>
      </c>
      <c r="F2" s="1069">
        <v>3</v>
      </c>
      <c r="G2" s="1069">
        <v>3</v>
      </c>
      <c r="H2" s="1069">
        <v>3</v>
      </c>
      <c r="I2" s="1069">
        <v>3</v>
      </c>
      <c r="J2" s="1069">
        <v>3</v>
      </c>
      <c r="K2" s="1069">
        <v>3</v>
      </c>
      <c r="L2" s="1069">
        <v>3</v>
      </c>
      <c r="M2" s="1069">
        <v>3</v>
      </c>
      <c r="N2" s="1069">
        <v>3</v>
      </c>
      <c r="O2" s="1069" t="s">
        <v>2187</v>
      </c>
      <c r="P2" s="1059"/>
      <c r="Q2" s="1059"/>
    </row>
    <row r="3" spans="1:17" ht="14.25">
      <c r="A3" s="1440"/>
      <c r="B3" s="1091" t="s">
        <v>2129</v>
      </c>
      <c r="C3" s="1092">
        <f t="shared" si="0"/>
        <v>3.8888888888888883E-2</v>
      </c>
      <c r="D3" s="1086">
        <v>2</v>
      </c>
      <c r="E3" s="1069">
        <v>2</v>
      </c>
      <c r="F3" s="1069">
        <v>2</v>
      </c>
      <c r="G3" s="1069">
        <v>2</v>
      </c>
      <c r="H3" s="1069">
        <v>2</v>
      </c>
      <c r="I3" s="1069">
        <v>2</v>
      </c>
      <c r="J3" s="1069">
        <v>2</v>
      </c>
      <c r="K3" s="1069">
        <v>2</v>
      </c>
      <c r="L3" s="1069">
        <v>2</v>
      </c>
      <c r="M3" s="1069">
        <v>2</v>
      </c>
      <c r="N3" s="1069">
        <v>2</v>
      </c>
      <c r="O3" s="1069" t="s">
        <v>2187</v>
      </c>
      <c r="P3" s="1059"/>
      <c r="Q3" s="1059"/>
    </row>
    <row r="4" spans="1:17" ht="14.25">
      <c r="A4" s="1440"/>
      <c r="B4" s="1091" t="s">
        <v>2130</v>
      </c>
      <c r="C4" s="1092">
        <f t="shared" si="0"/>
        <v>3.8888888888888883E-2</v>
      </c>
      <c r="D4" s="1086">
        <v>3</v>
      </c>
      <c r="E4" s="1069">
        <f>'OR04-分公司销售、承保、保全'!W10</f>
        <v>1.5</v>
      </c>
      <c r="F4" s="1069">
        <f>'OR04-分公司销售、承保、保全'!AC10</f>
        <v>1.5</v>
      </c>
      <c r="G4" s="1069">
        <f>'OR04-分公司销售、承保、保全'!AI10</f>
        <v>3</v>
      </c>
      <c r="H4" s="1069">
        <f>'OR04-分公司销售、承保、保全'!AO10</f>
        <v>1.5</v>
      </c>
      <c r="I4" s="1069">
        <f>'OR04-分公司销售、承保、保全'!AU10</f>
        <v>1.5</v>
      </c>
      <c r="J4" s="1069">
        <f>'OR04-分公司销售、承保、保全'!BA10</f>
        <v>1.5</v>
      </c>
      <c r="K4" s="1069">
        <f>'OR04-分公司销售、承保、保全'!BG10</f>
        <v>1.5</v>
      </c>
      <c r="L4" s="1069">
        <f>'OR04-分公司销售、承保、保全'!BM10</f>
        <v>1.5</v>
      </c>
      <c r="M4" s="1069">
        <f>'OR04-分公司销售、承保、保全'!BS10</f>
        <v>0</v>
      </c>
      <c r="N4" s="1069">
        <f>'OR04-分公司销售、承保、保全'!BY10</f>
        <v>1.5</v>
      </c>
      <c r="O4" s="1069" t="s">
        <v>2188</v>
      </c>
    </row>
    <row r="5" spans="1:17" ht="14.25">
      <c r="A5" s="1440"/>
      <c r="B5" s="1091" t="s">
        <v>2131</v>
      </c>
      <c r="C5" s="1092">
        <f t="shared" si="0"/>
        <v>3.8888888888888883E-2</v>
      </c>
      <c r="D5" s="1086">
        <v>3</v>
      </c>
      <c r="E5" s="1069">
        <f>'OR04-分公司销售、承保、保全'!W14</f>
        <v>3</v>
      </c>
      <c r="F5" s="1069">
        <f>'OR04-分公司销售、承保、保全'!AC14</f>
        <v>3</v>
      </c>
      <c r="G5" s="1069">
        <f>'OR04-分公司销售、承保、保全'!AI14</f>
        <v>3</v>
      </c>
      <c r="H5" s="1069">
        <f>'OR04-分公司销售、承保、保全'!AO14</f>
        <v>3</v>
      </c>
      <c r="I5" s="1069">
        <f>'OR04-分公司销售、承保、保全'!AU14</f>
        <v>3</v>
      </c>
      <c r="J5" s="1069">
        <f>'OR04-分公司销售、承保、保全'!BA14</f>
        <v>3</v>
      </c>
      <c r="K5" s="1069">
        <f>'OR04-分公司销售、承保、保全'!BG14</f>
        <v>3</v>
      </c>
      <c r="L5" s="1069">
        <f>'OR04-分公司销售、承保、保全'!BM14</f>
        <v>3</v>
      </c>
      <c r="M5" s="1069">
        <f>'OR04-分公司销售、承保、保全'!BS14</f>
        <v>3</v>
      </c>
      <c r="N5" s="1069">
        <f>'OR04-分公司销售、承保、保全'!BY14</f>
        <v>3</v>
      </c>
      <c r="O5" s="1069" t="s">
        <v>2188</v>
      </c>
    </row>
    <row r="6" spans="1:17" ht="14.25">
      <c r="A6" s="1440"/>
      <c r="B6" s="1091" t="s">
        <v>2132</v>
      </c>
      <c r="C6" s="1092">
        <f t="shared" si="0"/>
        <v>3.8888888888888883E-2</v>
      </c>
      <c r="D6" s="1086">
        <v>4</v>
      </c>
      <c r="E6" s="1069">
        <f>'OR04-分公司销售、承保、保全'!W15</f>
        <v>4</v>
      </c>
      <c r="F6" s="1069">
        <f>'OR04-分公司销售、承保、保全'!AC15</f>
        <v>4</v>
      </c>
      <c r="G6" s="1069">
        <f>'OR04-分公司销售、承保、保全'!AI15</f>
        <v>4</v>
      </c>
      <c r="H6" s="1069">
        <f>'OR04-分公司销售、承保、保全'!AO15</f>
        <v>4</v>
      </c>
      <c r="I6" s="1069">
        <f>'OR04-分公司销售、承保、保全'!AU15</f>
        <v>4</v>
      </c>
      <c r="J6" s="1069">
        <f>'OR04-分公司销售、承保、保全'!BA15</f>
        <v>4</v>
      </c>
      <c r="K6" s="1069">
        <f>'OR04-分公司销售、承保、保全'!BG15</f>
        <v>4</v>
      </c>
      <c r="L6" s="1069">
        <f>'OR04-分公司销售、承保、保全'!BM15</f>
        <v>4</v>
      </c>
      <c r="M6" s="1069">
        <f>'OR04-分公司销售、承保、保全'!BS15</f>
        <v>4</v>
      </c>
      <c r="N6" s="1069">
        <f>'OR04-分公司销售、承保、保全'!BY15</f>
        <v>4</v>
      </c>
      <c r="O6" s="1069" t="s">
        <v>2188</v>
      </c>
    </row>
    <row r="7" spans="1:17" ht="14.25">
      <c r="A7" s="1440"/>
      <c r="B7" s="1091" t="s">
        <v>2133</v>
      </c>
      <c r="C7" s="1092">
        <f t="shared" si="0"/>
        <v>3.8888888888888883E-2</v>
      </c>
      <c r="D7" s="1086">
        <v>1</v>
      </c>
      <c r="E7" s="1069">
        <f>'OR04-分公司销售、承保、保全'!W16</f>
        <v>1</v>
      </c>
      <c r="F7" s="1069">
        <f>'OR04-分公司销售、承保、保全'!AC16</f>
        <v>1</v>
      </c>
      <c r="G7" s="1069">
        <f>'OR04-分公司销售、承保、保全'!AI16</f>
        <v>1</v>
      </c>
      <c r="H7" s="1069">
        <f>'OR04-分公司销售、承保、保全'!AO16</f>
        <v>1</v>
      </c>
      <c r="I7" s="1069">
        <f>'OR04-分公司销售、承保、保全'!AU16</f>
        <v>1</v>
      </c>
      <c r="J7" s="1069">
        <f>'OR04-分公司销售、承保、保全'!BA16</f>
        <v>1</v>
      </c>
      <c r="K7" s="1069">
        <f>'OR04-分公司销售、承保、保全'!BG16</f>
        <v>1</v>
      </c>
      <c r="L7" s="1069">
        <f>'OR04-分公司销售、承保、保全'!BM16</f>
        <v>1</v>
      </c>
      <c r="M7" s="1069">
        <f>'OR04-分公司销售、承保、保全'!BS16</f>
        <v>1</v>
      </c>
      <c r="N7" s="1069">
        <f>'OR04-分公司销售、承保、保全'!BY16</f>
        <v>1</v>
      </c>
      <c r="O7" s="1069" t="s">
        <v>2188</v>
      </c>
    </row>
    <row r="8" spans="1:17" ht="14.25">
      <c r="A8" s="1440"/>
      <c r="B8" s="1091" t="s">
        <v>2134</v>
      </c>
      <c r="C8" s="1092">
        <f t="shared" si="0"/>
        <v>3.8888888888888883E-2</v>
      </c>
      <c r="D8" s="1086">
        <v>2</v>
      </c>
      <c r="E8" s="1093">
        <f>'OR04-分公司销售、承保、保全'!W19</f>
        <v>2</v>
      </c>
      <c r="F8" s="1093">
        <f>'OR04-分公司销售、承保、保全'!AC19</f>
        <v>2</v>
      </c>
      <c r="G8" s="1093">
        <f>'OR04-分公司销售、承保、保全'!AI19</f>
        <v>2</v>
      </c>
      <c r="H8" s="1093">
        <f>'OR04-分公司销售、承保、保全'!AO22</f>
        <v>2</v>
      </c>
      <c r="I8" s="1093">
        <f>'OR04-分公司销售、承保、保全'!AU19</f>
        <v>2</v>
      </c>
      <c r="J8" s="1093">
        <f>'OR04-分公司销售、承保、保全'!BA19</f>
        <v>2</v>
      </c>
      <c r="K8" s="1093">
        <f>'OR04-分公司销售、承保、保全'!BG19</f>
        <v>2</v>
      </c>
      <c r="L8" s="1093">
        <f>'OR04-分公司销售、承保、保全'!BM19</f>
        <v>2</v>
      </c>
      <c r="M8" s="1093">
        <f>'OR04-分公司销售、承保、保全'!BS19</f>
        <v>2</v>
      </c>
      <c r="N8" s="1093">
        <f>'OR04-分公司销售、承保、保全'!BY19</f>
        <v>2</v>
      </c>
      <c r="O8" s="1069" t="s">
        <v>2188</v>
      </c>
    </row>
    <row r="9" spans="1:17" ht="14.25">
      <c r="A9" s="1440"/>
      <c r="B9" s="1091" t="s">
        <v>2135</v>
      </c>
      <c r="C9" s="1092">
        <f t="shared" si="0"/>
        <v>3.8888888888888883E-2</v>
      </c>
      <c r="D9" s="1086">
        <v>2</v>
      </c>
      <c r="E9" s="1093">
        <f>'OR04-分公司销售、承保、保全'!W22</f>
        <v>2</v>
      </c>
      <c r="F9" s="1093">
        <f>'OR04-分公司销售、承保、保全'!AC22</f>
        <v>2</v>
      </c>
      <c r="G9" s="1093">
        <f>'OR04-分公司销售、承保、保全'!AI22</f>
        <v>2</v>
      </c>
      <c r="H9" s="1093">
        <f>'OR04-分公司销售、承保、保全'!AO22</f>
        <v>2</v>
      </c>
      <c r="I9" s="1093">
        <f>'OR04-分公司销售、承保、保全'!AU22</f>
        <v>2</v>
      </c>
      <c r="J9" s="1093">
        <f>'OR04-分公司销售、承保、保全'!BA22</f>
        <v>2</v>
      </c>
      <c r="K9" s="1093">
        <f>'OR04-分公司销售、承保、保全'!BG22</f>
        <v>2</v>
      </c>
      <c r="L9" s="1093">
        <f>'OR04-分公司销售、承保、保全'!BM22</f>
        <v>2</v>
      </c>
      <c r="M9" s="1093">
        <f>'OR04-分公司销售、承保、保全'!BS22</f>
        <v>2</v>
      </c>
      <c r="N9" s="1093">
        <f>'OR04-分公司销售、承保、保全'!BY22</f>
        <v>2</v>
      </c>
      <c r="O9" s="1069" t="s">
        <v>2188</v>
      </c>
    </row>
    <row r="10" spans="1:17" ht="14.25">
      <c r="A10" s="1440"/>
      <c r="B10" s="1091" t="s">
        <v>2136</v>
      </c>
      <c r="C10" s="1092">
        <f t="shared" si="0"/>
        <v>3.8888888888888883E-2</v>
      </c>
      <c r="D10" s="1086">
        <v>2</v>
      </c>
      <c r="E10" s="1094">
        <f>'OR04-分公司销售、承保、保全'!W25</f>
        <v>1.6363636363636365</v>
      </c>
      <c r="F10" s="1094">
        <f>'OR04-分公司销售、承保、保全'!AC25</f>
        <v>0.37168141592920356</v>
      </c>
      <c r="G10" s="1094">
        <f>'OR04-分公司销售、承保、保全'!AI25</f>
        <v>0.70198675496688745</v>
      </c>
      <c r="H10" s="1094">
        <f>'OR04-分公司销售、承保、保全'!AO25</f>
        <v>0.50909090909090904</v>
      </c>
      <c r="I10" s="1094">
        <f>'OR04-分公司销售、承保、保全'!AU25</f>
        <v>0.92307692307692313</v>
      </c>
      <c r="J10" s="1094">
        <f>'OR04-分公司销售、承保、保全'!BA25</f>
        <v>0.3539325842696629</v>
      </c>
      <c r="K10" s="1094">
        <f>'OR04-分公司销售、承保、保全'!BG25</f>
        <v>0.4247787610619469</v>
      </c>
      <c r="L10" s="1094">
        <f>'OR04-分公司销售、承保、保全'!BM25</f>
        <v>0.5267857142857143</v>
      </c>
      <c r="M10" s="1094">
        <f>'OR04-分公司销售、承保、保全'!BS25</f>
        <v>0.93975903614457834</v>
      </c>
      <c r="N10" s="1094">
        <f>'OR04-分公司销售、承保、保全'!BY25</f>
        <v>0.44117647058823528</v>
      </c>
      <c r="O10" s="1069" t="s">
        <v>2188</v>
      </c>
    </row>
    <row r="11" spans="1:17" ht="14.25">
      <c r="A11" s="1440"/>
      <c r="B11" s="1442" t="s">
        <v>2137</v>
      </c>
      <c r="C11" s="1141"/>
      <c r="D11" s="1086"/>
      <c r="E11" s="1069">
        <f>'OR04-分公司销售、承保、保全'!V28</f>
        <v>1</v>
      </c>
      <c r="F11" s="1069">
        <f>'OR04-分公司销售、承保、保全'!AB28</f>
        <v>3</v>
      </c>
      <c r="G11" s="1069">
        <f>'OR04-分公司销售、承保、保全'!AH28</f>
        <v>1</v>
      </c>
      <c r="H11" s="1069">
        <f>'OR04-分公司销售、承保、保全'!AN28</f>
        <v>1</v>
      </c>
      <c r="I11" s="1069">
        <f>'OR04-分公司销售、承保、保全'!AT28</f>
        <v>3</v>
      </c>
      <c r="J11" s="1069">
        <f>'OR04-分公司销售、承保、保全'!AZ28</f>
        <v>3</v>
      </c>
      <c r="K11" s="1069">
        <f>'OR04-分公司销售、承保、保全'!BF28</f>
        <v>0</v>
      </c>
      <c r="L11" s="1069">
        <f>'OR04-分公司销售、承保、保全'!BL28</f>
        <v>2</v>
      </c>
      <c r="M11" s="1069">
        <f>'OR04-分公司销售、承保、保全'!BR28</f>
        <v>0</v>
      </c>
      <c r="N11" s="1069">
        <f>'OR04-分公司销售、承保、保全'!BX28</f>
        <v>1</v>
      </c>
      <c r="O11" s="1069" t="s">
        <v>2191</v>
      </c>
    </row>
    <row r="12" spans="1:17" ht="14.25">
      <c r="A12" s="1440"/>
      <c r="B12" s="1443"/>
      <c r="C12" s="1111">
        <f t="shared" si="0"/>
        <v>3.8888888888888883E-2</v>
      </c>
      <c r="D12" s="1086">
        <v>6</v>
      </c>
      <c r="E12" s="1069">
        <f>'OR04-分公司销售、承保、保全'!W28</f>
        <v>5.5</v>
      </c>
      <c r="F12" s="1069">
        <f>'OR04-分公司销售、承保、保全'!AC28</f>
        <v>4.5</v>
      </c>
      <c r="G12" s="1069">
        <f>'OR04-分公司销售、承保、保全'!AI28</f>
        <v>5.5</v>
      </c>
      <c r="H12" s="1069">
        <f>'OR04-分公司销售、承保、保全'!AO28</f>
        <v>5.5</v>
      </c>
      <c r="I12" s="1069">
        <f>'OR04-分公司销售、承保、保全'!AU28</f>
        <v>4.5</v>
      </c>
      <c r="J12" s="1069">
        <f>'OR04-分公司销售、承保、保全'!BA28</f>
        <v>4.5</v>
      </c>
      <c r="K12" s="1069">
        <f>'OR04-分公司销售、承保、保全'!BG28</f>
        <v>6</v>
      </c>
      <c r="L12" s="1069">
        <f>'OR04-分公司销售、承保、保全'!BM28</f>
        <v>5</v>
      </c>
      <c r="M12" s="1069">
        <f>'OR04-分公司销售、承保、保全'!BS28</f>
        <v>6</v>
      </c>
      <c r="N12" s="1069">
        <f>'OR04-分公司销售、承保、保全'!BY28</f>
        <v>5.5</v>
      </c>
      <c r="O12" s="1069" t="s">
        <v>2188</v>
      </c>
    </row>
    <row r="13" spans="1:17" ht="14.25">
      <c r="A13" s="1440"/>
      <c r="B13" s="1442" t="s">
        <v>1252</v>
      </c>
      <c r="C13" s="1142"/>
      <c r="D13" s="1086"/>
      <c r="E13" s="1069">
        <f>'OR04-分公司销售、承保、保全'!V30</f>
        <v>0</v>
      </c>
      <c r="F13" s="1069">
        <f>'OR04-分公司销售、承保、保全'!AB30</f>
        <v>0</v>
      </c>
      <c r="G13" s="1069">
        <f>'OR04-分公司销售、承保、保全'!AH30</f>
        <v>0</v>
      </c>
      <c r="H13" s="1093">
        <f>'OR04-分公司销售、承保、保全'!AN30</f>
        <v>0</v>
      </c>
      <c r="I13" s="1093">
        <f>'OR04-分公司销售、承保、保全'!AT30</f>
        <v>0</v>
      </c>
      <c r="J13" s="1069">
        <f>'OR04-分公司销售、承保、保全'!AZ30</f>
        <v>0</v>
      </c>
      <c r="K13" s="1069">
        <f>'OR04-分公司销售、承保、保全'!BF30</f>
        <v>0</v>
      </c>
      <c r="L13" s="1069">
        <f>'OR04-分公司销售、承保、保全'!BL30</f>
        <v>0</v>
      </c>
      <c r="M13" s="1069">
        <f>'OR04-分公司销售、承保、保全'!BR30</f>
        <v>0</v>
      </c>
      <c r="N13" s="1093">
        <f>'OR04-分公司销售、承保、保全'!BX30</f>
        <v>0</v>
      </c>
      <c r="O13" s="1069" t="s">
        <v>2190</v>
      </c>
    </row>
    <row r="14" spans="1:17" ht="14.25">
      <c r="A14" s="1440"/>
      <c r="B14" s="1443"/>
      <c r="C14" s="1111">
        <f t="shared" si="0"/>
        <v>3.8888888888888883E-2</v>
      </c>
      <c r="D14" s="1086">
        <v>6</v>
      </c>
      <c r="E14" s="1069">
        <f>'OR04-分公司销售、承保、保全'!W30</f>
        <v>6</v>
      </c>
      <c r="F14" s="1069">
        <f>'OR04-分公司销售、承保、保全'!AC30</f>
        <v>6</v>
      </c>
      <c r="G14" s="1069">
        <f>'OR04-分公司销售、承保、保全'!AI30</f>
        <v>6</v>
      </c>
      <c r="H14" s="1069">
        <f>'OR04-分公司销售、承保、保全'!AO30</f>
        <v>6</v>
      </c>
      <c r="I14" s="1069">
        <f>'OR04-分公司销售、承保、保全'!AU30</f>
        <v>6</v>
      </c>
      <c r="J14" s="1069">
        <f>'OR04-分公司销售、承保、保全'!BA30</f>
        <v>6</v>
      </c>
      <c r="K14" s="1069">
        <f>'OR04-分公司销售、承保、保全'!BG30</f>
        <v>6</v>
      </c>
      <c r="L14" s="1069">
        <f>'OR04-分公司销售、承保、保全'!BM30</f>
        <v>6</v>
      </c>
      <c r="M14" s="1069">
        <f>'OR04-分公司销售、承保、保全'!BS30</f>
        <v>6</v>
      </c>
      <c r="N14" s="1069">
        <f>'OR04-分公司销售、承保、保全'!BY30</f>
        <v>6</v>
      </c>
      <c r="O14" s="1069" t="s">
        <v>2188</v>
      </c>
    </row>
    <row r="15" spans="1:17" ht="14.25">
      <c r="A15" s="1440"/>
      <c r="B15" s="1442" t="s">
        <v>1797</v>
      </c>
      <c r="C15" s="1142"/>
      <c r="D15" s="1086"/>
      <c r="E15" s="1069">
        <f>'OR04-分公司销售、承保、保全'!V32</f>
        <v>0</v>
      </c>
      <c r="F15" s="1069">
        <f>'OR04-分公司销售、承保、保全'!AB32</f>
        <v>0</v>
      </c>
      <c r="G15" s="1069">
        <f>'OR04-分公司销售、承保、保全'!AH32</f>
        <v>0</v>
      </c>
      <c r="H15" s="1069">
        <f>'OR04-分公司销售、承保、保全'!AN32</f>
        <v>0</v>
      </c>
      <c r="I15" s="1069">
        <f>'OR04-分公司销售、承保、保全'!AT32</f>
        <v>0</v>
      </c>
      <c r="J15" s="1069">
        <f>'OR04-分公司销售、承保、保全'!AZ32</f>
        <v>1</v>
      </c>
      <c r="K15" s="1069">
        <f>'OR04-分公司销售、承保、保全'!BF32</f>
        <v>0</v>
      </c>
      <c r="L15" s="1069">
        <f>'OR04-分公司销售、承保、保全'!BL32</f>
        <v>0</v>
      </c>
      <c r="M15" s="1069">
        <f>'OR04-分公司销售、承保、保全'!BR32</f>
        <v>0</v>
      </c>
      <c r="N15" s="1069">
        <f>'OR04-分公司销售、承保、保全'!BX32</f>
        <v>0</v>
      </c>
      <c r="O15" s="1069" t="s">
        <v>2190</v>
      </c>
    </row>
    <row r="16" spans="1:17" ht="14.25">
      <c r="A16" s="1440"/>
      <c r="B16" s="1443"/>
      <c r="C16" s="1111">
        <f t="shared" si="0"/>
        <v>3.8888888888888883E-2</v>
      </c>
      <c r="D16" s="1086">
        <v>6</v>
      </c>
      <c r="E16" s="1069">
        <f>'OR04-分公司销售、承保、保全'!W32</f>
        <v>6</v>
      </c>
      <c r="F16" s="1069">
        <f>'OR04-分公司销售、承保、保全'!AC32</f>
        <v>6</v>
      </c>
      <c r="G16" s="1069">
        <f>'OR04-分公司销售、承保、保全'!AI32</f>
        <v>6</v>
      </c>
      <c r="H16" s="1069">
        <f>'OR04-分公司销售、承保、保全'!AO32</f>
        <v>6</v>
      </c>
      <c r="I16" s="1069">
        <f>'OR04-分公司销售、承保、保全'!AU32</f>
        <v>6</v>
      </c>
      <c r="J16" s="1069">
        <f>'OR04-分公司销售、承保、保全'!BA32</f>
        <v>3</v>
      </c>
      <c r="K16" s="1069">
        <f>'OR04-分公司销售、承保、保全'!BG32</f>
        <v>6</v>
      </c>
      <c r="L16" s="1069">
        <f>'OR04-分公司销售、承保、保全'!BM32</f>
        <v>6</v>
      </c>
      <c r="M16" s="1069">
        <f>'OR04-分公司销售、承保、保全'!BS32</f>
        <v>6</v>
      </c>
      <c r="N16" s="1069">
        <f>'OR04-分公司销售、承保、保全'!BY32</f>
        <v>6</v>
      </c>
      <c r="O16" s="1069" t="s">
        <v>2188</v>
      </c>
    </row>
    <row r="17" spans="1:15" ht="14.25">
      <c r="A17" s="1440"/>
      <c r="B17" s="1091" t="s">
        <v>2138</v>
      </c>
      <c r="C17" s="1092">
        <f t="shared" si="0"/>
        <v>3.8888888888888883E-2</v>
      </c>
      <c r="D17" s="1086">
        <v>1</v>
      </c>
      <c r="E17" s="1069">
        <f>'OR04-分公司销售、承保、保全'!W34</f>
        <v>1</v>
      </c>
      <c r="F17" s="1069">
        <f>'OR04-分公司销售、承保、保全'!AC34</f>
        <v>1</v>
      </c>
      <c r="G17" s="1069">
        <f>'OR04-分公司销售、承保、保全'!AI34</f>
        <v>1</v>
      </c>
      <c r="H17" s="1069">
        <f>'OR04-分公司销售、承保、保全'!AO34</f>
        <v>1</v>
      </c>
      <c r="I17" s="1069">
        <f>'OR04-分公司销售、承保、保全'!AU34</f>
        <v>1</v>
      </c>
      <c r="J17" s="1069">
        <f>'OR04-分公司销售、承保、保全'!BA34</f>
        <v>1</v>
      </c>
      <c r="K17" s="1069">
        <f>'OR04-分公司销售、承保、保全'!BG34</f>
        <v>1</v>
      </c>
      <c r="L17" s="1069">
        <f>'OR04-分公司销售、承保、保全'!BM34</f>
        <v>1</v>
      </c>
      <c r="M17" s="1069">
        <f>'OR04-分公司销售、承保、保全'!BS34</f>
        <v>1</v>
      </c>
      <c r="N17" s="1069">
        <f>'OR04-分公司销售、承保、保全'!BY34</f>
        <v>1</v>
      </c>
      <c r="O17" s="1069" t="s">
        <v>2188</v>
      </c>
    </row>
    <row r="18" spans="1:15" ht="14.25">
      <c r="A18" s="1440"/>
      <c r="B18" s="1091" t="s">
        <v>2139</v>
      </c>
      <c r="C18" s="1092">
        <f t="shared" si="0"/>
        <v>3.8888888888888883E-2</v>
      </c>
      <c r="D18" s="1086">
        <v>2</v>
      </c>
      <c r="E18" s="1069">
        <f>'OR04-分公司销售、承保、保全'!W35</f>
        <v>2</v>
      </c>
      <c r="F18" s="1069">
        <f>'OR04-分公司销售、承保、保全'!AC35</f>
        <v>2</v>
      </c>
      <c r="G18" s="1069">
        <f>'OR04-分公司销售、承保、保全'!AI35</f>
        <v>2</v>
      </c>
      <c r="H18" s="1069">
        <f>'OR04-分公司销售、承保、保全'!AO35</f>
        <v>2</v>
      </c>
      <c r="I18" s="1069">
        <f>'OR04-分公司销售、承保、保全'!AU35</f>
        <v>2</v>
      </c>
      <c r="J18" s="1069">
        <f>'OR04-分公司销售、承保、保全'!BA35</f>
        <v>2</v>
      </c>
      <c r="K18" s="1069">
        <f>'OR04-分公司销售、承保、保全'!BG35</f>
        <v>2</v>
      </c>
      <c r="L18" s="1069">
        <f>'OR04-分公司销售、承保、保全'!BM35</f>
        <v>2</v>
      </c>
      <c r="M18" s="1069">
        <f>'OR04-分公司销售、承保、保全'!BS35</f>
        <v>2</v>
      </c>
      <c r="N18" s="1069">
        <f>'OR04-分公司销售、承保、保全'!BY35</f>
        <v>2</v>
      </c>
      <c r="O18" s="1069" t="s">
        <v>2188</v>
      </c>
    </row>
    <row r="19" spans="1:15" ht="14.25">
      <c r="A19" s="1440"/>
      <c r="B19" s="1091" t="s">
        <v>2140</v>
      </c>
      <c r="C19" s="1092">
        <f t="shared" si="0"/>
        <v>3.8888888888888883E-2</v>
      </c>
      <c r="D19" s="1086">
        <v>2</v>
      </c>
      <c r="E19" s="1069">
        <f>'OR04-分公司销售、承保、保全'!W38</f>
        <v>2</v>
      </c>
      <c r="F19" s="1069">
        <f>'OR04-分公司销售、承保、保全'!AC38</f>
        <v>2</v>
      </c>
      <c r="G19" s="1069">
        <f>'OR04-分公司销售、承保、保全'!AI38</f>
        <v>1</v>
      </c>
      <c r="H19" s="1069">
        <f>'OR04-分公司销售、承保、保全'!AO38</f>
        <v>1</v>
      </c>
      <c r="I19" s="1069">
        <f>'OR04-分公司销售、承保、保全'!AU38</f>
        <v>1</v>
      </c>
      <c r="J19" s="1069">
        <f>'OR04-分公司销售、承保、保全'!BA38</f>
        <v>1</v>
      </c>
      <c r="K19" s="1069">
        <f>'OR04-分公司销售、承保、保全'!BG38</f>
        <v>1</v>
      </c>
      <c r="L19" s="1069">
        <f>'OR04-分公司销售、承保、保全'!BM38</f>
        <v>2</v>
      </c>
      <c r="M19" s="1069">
        <f>'OR04-分公司销售、承保、保全'!BS38</f>
        <v>2</v>
      </c>
      <c r="N19" s="1069">
        <f>'OR04-分公司销售、承保、保全'!BY38</f>
        <v>2</v>
      </c>
      <c r="O19" s="1069" t="s">
        <v>2188</v>
      </c>
    </row>
    <row r="20" spans="1:15" ht="14.25">
      <c r="A20" s="1440"/>
      <c r="B20" s="1442" t="s">
        <v>2141</v>
      </c>
      <c r="C20" s="1116"/>
      <c r="D20" s="1086"/>
      <c r="E20" s="1069">
        <f>'OR04-分公司销售、承保、保全'!V42</f>
        <v>0</v>
      </c>
      <c r="F20" s="1069">
        <f>'OR04-分公司销售、承保、保全'!AB42</f>
        <v>0</v>
      </c>
      <c r="G20" s="1069">
        <f>'OR04-分公司销售、承保、保全'!AH42</f>
        <v>1</v>
      </c>
      <c r="H20" s="1069">
        <f>'OR04-分公司销售、承保、保全'!AN42</f>
        <v>0</v>
      </c>
      <c r="I20" s="1069">
        <f>'OR04-分公司销售、承保、保全'!AT42</f>
        <v>0</v>
      </c>
      <c r="J20" s="1069">
        <f>'OR04-分公司销售、承保、保全'!AZ42</f>
        <v>0</v>
      </c>
      <c r="K20" s="1069">
        <f>'OR04-分公司销售、承保、保全'!BF42</f>
        <v>0</v>
      </c>
      <c r="L20" s="1069">
        <f>'OR04-分公司销售、承保、保全'!BL42</f>
        <v>0</v>
      </c>
      <c r="M20" s="1069">
        <f>'OR04-分公司销售、承保、保全'!BR42</f>
        <v>0</v>
      </c>
      <c r="N20" s="1069">
        <f>'OR04-分公司销售、承保、保全'!BX42</f>
        <v>0</v>
      </c>
      <c r="O20" s="1069" t="s">
        <v>2188</v>
      </c>
    </row>
    <row r="21" spans="1:15" ht="14.25">
      <c r="A21" s="1440"/>
      <c r="B21" s="1443"/>
      <c r="C21" s="1092">
        <f t="shared" si="0"/>
        <v>3.8888888888888883E-2</v>
      </c>
      <c r="D21" s="1086">
        <v>4</v>
      </c>
      <c r="E21" s="1069">
        <f>'OR04-分公司销售、承保、保全'!W41</f>
        <v>4</v>
      </c>
      <c r="F21" s="1069">
        <f>'OR04-分公司销售、承保、保全'!AC41</f>
        <v>4</v>
      </c>
      <c r="G21" s="1069">
        <f>'OR04-分公司销售、承保、保全'!AI41</f>
        <v>3</v>
      </c>
      <c r="H21" s="1069">
        <f>'OR04-分公司销售、承保、保全'!AO41</f>
        <v>4</v>
      </c>
      <c r="I21" s="1069">
        <f>'OR04-分公司销售、承保、保全'!AU41</f>
        <v>4</v>
      </c>
      <c r="J21" s="1069">
        <f>'OR04-分公司销售、承保、保全'!BA41</f>
        <v>4</v>
      </c>
      <c r="K21" s="1069">
        <f>'OR04-分公司销售、承保、保全'!BG41</f>
        <v>4</v>
      </c>
      <c r="L21" s="1069">
        <f>'OR04-分公司销售、承保、保全'!BM41</f>
        <v>4</v>
      </c>
      <c r="M21" s="1069">
        <f>'OR04-分公司销售、承保、保全'!BS41</f>
        <v>4</v>
      </c>
      <c r="N21" s="1069">
        <f>'OR04-分公司销售、承保、保全'!BY41</f>
        <v>4</v>
      </c>
      <c r="O21" s="1069" t="s">
        <v>2188</v>
      </c>
    </row>
    <row r="22" spans="1:15" ht="14.25">
      <c r="A22" s="1440"/>
      <c r="B22" s="1442" t="s">
        <v>2142</v>
      </c>
      <c r="C22" s="1141"/>
      <c r="D22" s="1086"/>
      <c r="E22" s="1069">
        <f>'OR04-分公司销售、承保、保全'!V43</f>
        <v>0</v>
      </c>
      <c r="F22" s="1069">
        <f>'OR04-分公司销售、承保、保全'!AB43</f>
        <v>0</v>
      </c>
      <c r="G22" s="1069">
        <f>'OR04-分公司销售、承保、保全'!AH43</f>
        <v>0</v>
      </c>
      <c r="H22" s="1069">
        <f>'OR04-分公司销售、承保、保全'!AN43</f>
        <v>0</v>
      </c>
      <c r="I22" s="1069">
        <f>'OR04-分公司销售、承保、保全'!AT43</f>
        <v>0</v>
      </c>
      <c r="J22" s="1069">
        <f>'OR04-分公司销售、承保、保全'!AZ43</f>
        <v>0</v>
      </c>
      <c r="K22" s="1069">
        <f>'OR04-分公司销售、承保、保全'!BF43</f>
        <v>0</v>
      </c>
      <c r="L22" s="1069">
        <f>'OR04-分公司销售、承保、保全'!BL43</f>
        <v>0</v>
      </c>
      <c r="M22" s="1069">
        <f>'OR04-分公司销售、承保、保全'!BR43</f>
        <v>0</v>
      </c>
      <c r="N22" s="1093">
        <f>'OR04-分公司销售、承保、保全'!BX43</f>
        <v>0</v>
      </c>
      <c r="O22" s="1069" t="s">
        <v>2191</v>
      </c>
    </row>
    <row r="23" spans="1:15" ht="14.25">
      <c r="A23" s="1440"/>
      <c r="B23" s="1443"/>
      <c r="C23" s="1111">
        <f t="shared" si="0"/>
        <v>3.8888888888888883E-2</v>
      </c>
      <c r="D23" s="1086">
        <v>6</v>
      </c>
      <c r="E23" s="1069">
        <f>'OR04-分公司销售、承保、保全'!W43</f>
        <v>6</v>
      </c>
      <c r="F23" s="1069">
        <f>'OR04-分公司销售、承保、保全'!AC43</f>
        <v>6</v>
      </c>
      <c r="G23" s="1069">
        <f>'OR04-分公司销售、承保、保全'!AI43</f>
        <v>6</v>
      </c>
      <c r="H23" s="1069">
        <f>'OR04-分公司销售、承保、保全'!AO43</f>
        <v>6</v>
      </c>
      <c r="I23" s="1069">
        <f>'OR04-分公司销售、承保、保全'!AU43</f>
        <v>6</v>
      </c>
      <c r="J23" s="1069">
        <f>'OR04-分公司销售、承保、保全'!BA43</f>
        <v>6</v>
      </c>
      <c r="K23" s="1069">
        <f>'OR04-分公司销售、承保、保全'!BG43</f>
        <v>6</v>
      </c>
      <c r="L23" s="1069">
        <f>'OR04-分公司销售、承保、保全'!BM43</f>
        <v>6</v>
      </c>
      <c r="M23" s="1069">
        <f>'OR04-分公司销售、承保、保全'!BS43</f>
        <v>6</v>
      </c>
      <c r="N23" s="1069">
        <f>'OR04-分公司销售、承保、保全'!BY43</f>
        <v>6</v>
      </c>
      <c r="O23" s="1069" t="s">
        <v>2188</v>
      </c>
    </row>
    <row r="24" spans="1:15" ht="14.25">
      <c r="A24" s="1440"/>
      <c r="B24" s="1091" t="s">
        <v>2143</v>
      </c>
      <c r="C24" s="1092">
        <f t="shared" si="0"/>
        <v>3.8888888888888883E-2</v>
      </c>
      <c r="D24" s="1086">
        <v>3</v>
      </c>
      <c r="E24" s="1069">
        <f>'OR04-分公司销售、承保、保全'!W45</f>
        <v>3</v>
      </c>
      <c r="F24" s="1069">
        <f>'OR04-分公司销售、承保、保全'!AC45</f>
        <v>3</v>
      </c>
      <c r="G24" s="1069">
        <f>'OR04-分公司销售、承保、保全'!AI45</f>
        <v>3</v>
      </c>
      <c r="H24" s="1069">
        <f>'OR04-分公司销售、承保、保全'!AO45</f>
        <v>3</v>
      </c>
      <c r="I24" s="1069">
        <f>'OR04-分公司销售、承保、保全'!AU45</f>
        <v>3</v>
      </c>
      <c r="J24" s="1069">
        <f>'OR04-分公司销售、承保、保全'!BA45</f>
        <v>3</v>
      </c>
      <c r="K24" s="1069">
        <f>'OR04-分公司销售、承保、保全'!BG45</f>
        <v>3</v>
      </c>
      <c r="L24" s="1069">
        <f>'OR04-分公司销售、承保、保全'!BM45</f>
        <v>3</v>
      </c>
      <c r="M24" s="1069">
        <f>'OR04-分公司销售、承保、保全'!BS45</f>
        <v>1.5</v>
      </c>
      <c r="N24" s="1069">
        <f>'OR04-分公司销售、承保、保全'!BY45</f>
        <v>3</v>
      </c>
      <c r="O24" s="1069" t="s">
        <v>2188</v>
      </c>
    </row>
    <row r="25" spans="1:15" ht="14.25">
      <c r="A25" s="1440"/>
      <c r="B25" s="1091" t="s">
        <v>1278</v>
      </c>
      <c r="C25" s="1092">
        <f t="shared" si="0"/>
        <v>3.8888888888888883E-2</v>
      </c>
      <c r="D25" s="1086">
        <v>2</v>
      </c>
      <c r="E25" s="1069">
        <f>'OR04-分公司销售、承保、保全'!W48</f>
        <v>2</v>
      </c>
      <c r="F25" s="1069">
        <f>'OR04-分公司销售、承保、保全'!AC48</f>
        <v>2</v>
      </c>
      <c r="G25" s="1069">
        <f>'OR04-分公司销售、承保、保全'!AI48</f>
        <v>2</v>
      </c>
      <c r="H25" s="1069">
        <f>'OR04-分公司销售、承保、保全'!AO48</f>
        <v>2</v>
      </c>
      <c r="I25" s="1069">
        <f>'OR04-分公司销售、承保、保全'!AU48</f>
        <v>2</v>
      </c>
      <c r="J25" s="1069">
        <f>'OR04-分公司销售、承保、保全'!BA48</f>
        <v>2</v>
      </c>
      <c r="K25" s="1069">
        <f>'OR04-分公司销售、承保、保全'!BG48</f>
        <v>2</v>
      </c>
      <c r="L25" s="1069">
        <f>'OR04-分公司销售、承保、保全'!BM48</f>
        <v>2</v>
      </c>
      <c r="M25" s="1069">
        <f>'OR04-分公司销售、承保、保全'!BS48</f>
        <v>2</v>
      </c>
      <c r="N25" s="1069">
        <f>'OR04-分公司销售、承保、保全'!BY48</f>
        <v>2</v>
      </c>
      <c r="O25" s="1069" t="s">
        <v>2188</v>
      </c>
    </row>
    <row r="26" spans="1:15" ht="14.25">
      <c r="A26" s="1440"/>
      <c r="B26" s="1091" t="s">
        <v>2144</v>
      </c>
      <c r="C26" s="1092">
        <f t="shared" si="0"/>
        <v>3.8888888888888883E-2</v>
      </c>
      <c r="D26" s="1086">
        <v>3</v>
      </c>
      <c r="E26" s="1069">
        <f>'OR04-分公司销售、承保、保全'!W52</f>
        <v>3</v>
      </c>
      <c r="F26" s="1069">
        <f>'OR04-分公司销售、承保、保全'!AC52</f>
        <v>3</v>
      </c>
      <c r="G26" s="1069">
        <f>'OR04-分公司销售、承保、保全'!AI52</f>
        <v>3</v>
      </c>
      <c r="H26" s="1069">
        <f>'OR04-分公司销售、承保、保全'!AO52</f>
        <v>1.5</v>
      </c>
      <c r="I26" s="1069">
        <f>'OR04-分公司销售、承保、保全'!AU52</f>
        <v>3</v>
      </c>
      <c r="J26" s="1069">
        <f>'OR04-分公司销售、承保、保全'!BA52</f>
        <v>3</v>
      </c>
      <c r="K26" s="1069">
        <f>'OR04-分公司销售、承保、保全'!BG52</f>
        <v>1.5</v>
      </c>
      <c r="L26" s="1069">
        <f>'OR04-分公司销售、承保、保全'!BM52</f>
        <v>3</v>
      </c>
      <c r="M26" s="1069">
        <f>'OR04-分公司销售、承保、保全'!BS52</f>
        <v>1.5</v>
      </c>
      <c r="N26" s="1069">
        <f>'OR04-分公司销售、承保、保全'!BY52</f>
        <v>3</v>
      </c>
      <c r="O26" s="1069" t="s">
        <v>2188</v>
      </c>
    </row>
    <row r="27" spans="1:15" ht="14.25">
      <c r="A27" s="1440"/>
      <c r="B27" s="1091" t="s">
        <v>2145</v>
      </c>
      <c r="C27" s="1092">
        <f t="shared" si="0"/>
        <v>3.8888888888888883E-2</v>
      </c>
      <c r="D27" s="1086">
        <v>3</v>
      </c>
      <c r="E27" s="1069">
        <f>'OR04-分公司销售、承保、保全'!W57</f>
        <v>3</v>
      </c>
      <c r="F27" s="1069">
        <f>'OR04-分公司销售、承保、保全'!AC57</f>
        <v>3</v>
      </c>
      <c r="G27" s="1069">
        <f>'OR04-分公司销售、承保、保全'!AI57</f>
        <v>3</v>
      </c>
      <c r="H27" s="1069">
        <f>'OR04-分公司销售、承保、保全'!AO57</f>
        <v>3</v>
      </c>
      <c r="I27" s="1069">
        <f>'OR04-分公司销售、承保、保全'!AU57</f>
        <v>3</v>
      </c>
      <c r="J27" s="1069">
        <f>'OR04-分公司销售、承保、保全'!BA57</f>
        <v>3</v>
      </c>
      <c r="K27" s="1069">
        <f>'OR04-分公司销售、承保、保全'!BG57</f>
        <v>3</v>
      </c>
      <c r="L27" s="1069">
        <f>'OR04-分公司销售、承保、保全'!BM57</f>
        <v>3</v>
      </c>
      <c r="M27" s="1069">
        <f>'OR04-分公司销售、承保、保全'!BS57</f>
        <v>3</v>
      </c>
      <c r="N27" s="1069">
        <f>'OR04-分公司销售、承保、保全'!BY57</f>
        <v>3</v>
      </c>
      <c r="O27" s="1069" t="s">
        <v>2188</v>
      </c>
    </row>
    <row r="28" spans="1:15" ht="14.25">
      <c r="A28" s="1440"/>
      <c r="B28" s="1091" t="s">
        <v>2146</v>
      </c>
      <c r="C28" s="1092">
        <f t="shared" si="0"/>
        <v>3.8888888888888883E-2</v>
      </c>
      <c r="D28" s="1086">
        <v>2</v>
      </c>
      <c r="E28" s="1093">
        <f>'OR04-分公司销售、承保、保全'!W63</f>
        <v>2</v>
      </c>
      <c r="F28" s="1093">
        <f>'OR04-分公司销售、承保、保全'!AC63</f>
        <v>2</v>
      </c>
      <c r="G28" s="1093">
        <f>'OR04-分公司销售、承保、保全'!AI63</f>
        <v>2</v>
      </c>
      <c r="H28" s="1093">
        <f>'OR04-分公司销售、承保、保全'!AO63</f>
        <v>2</v>
      </c>
      <c r="I28" s="1093">
        <f>'OR04-分公司销售、承保、保全'!AU63</f>
        <v>2</v>
      </c>
      <c r="J28" s="1093">
        <f>'OR04-分公司销售、承保、保全'!BA63</f>
        <v>2</v>
      </c>
      <c r="K28" s="1093">
        <f>'OR04-分公司销售、承保、保全'!BG63</f>
        <v>2</v>
      </c>
      <c r="L28" s="1093">
        <f>'OR04-分公司销售、承保、保全'!BM63</f>
        <v>2</v>
      </c>
      <c r="M28" s="1093">
        <f>'OR04-分公司销售、承保、保全'!BS63</f>
        <v>2</v>
      </c>
      <c r="N28" s="1093">
        <f>'OR04-分公司销售、承保、保全'!BY63</f>
        <v>2</v>
      </c>
      <c r="O28" s="1069" t="s">
        <v>2188</v>
      </c>
    </row>
    <row r="29" spans="1:15" ht="14.25">
      <c r="A29" s="1440"/>
      <c r="B29" s="1091" t="s">
        <v>2147</v>
      </c>
      <c r="C29" s="1092">
        <f t="shared" si="0"/>
        <v>3.8888888888888883E-2</v>
      </c>
      <c r="D29" s="1086">
        <v>1</v>
      </c>
      <c r="E29" s="1093">
        <f>'OR04-分公司销售、承保、保全'!W66</f>
        <v>1</v>
      </c>
      <c r="F29" s="1093">
        <f>'OR04-分公司销售、承保、保全'!AC66</f>
        <v>1</v>
      </c>
      <c r="G29" s="1093">
        <f>'OR04-分公司销售、承保、保全'!AI66</f>
        <v>1</v>
      </c>
      <c r="H29" s="1093">
        <f>'OR04-分公司销售、承保、保全'!AO66</f>
        <v>1</v>
      </c>
      <c r="I29" s="1093">
        <f>'OR04-分公司销售、承保、保全'!AU66</f>
        <v>1</v>
      </c>
      <c r="J29" s="1093">
        <f>'OR04-分公司销售、承保、保全'!BA66</f>
        <v>1</v>
      </c>
      <c r="K29" s="1093">
        <f>'OR04-分公司销售、承保、保全'!BG66</f>
        <v>1</v>
      </c>
      <c r="L29" s="1093">
        <f>'OR04-分公司销售、承保、保全'!BM66</f>
        <v>1</v>
      </c>
      <c r="M29" s="1093">
        <f>'OR04-分公司销售、承保、保全'!BS66</f>
        <v>1</v>
      </c>
      <c r="N29" s="1093">
        <f>'OR04-分公司销售、承保、保全'!BY66</f>
        <v>1</v>
      </c>
      <c r="O29" s="1069" t="s">
        <v>2188</v>
      </c>
    </row>
    <row r="30" spans="1:15" ht="14.25">
      <c r="A30" s="1440"/>
      <c r="B30" s="1442" t="s">
        <v>2148</v>
      </c>
      <c r="C30" s="1143"/>
      <c r="D30" s="1086"/>
      <c r="E30" s="1069">
        <f>'OR04-分公司销售、承保、保全'!V67</f>
        <v>0</v>
      </c>
      <c r="F30" s="1069">
        <f>'OR04-分公司销售、承保、保全'!AB67</f>
        <v>0</v>
      </c>
      <c r="G30" s="1069">
        <f>'OR04-分公司销售、承保、保全'!AH67</f>
        <v>0</v>
      </c>
      <c r="H30" s="1093">
        <f>'OR04-分公司销售、承保、保全'!AN67</f>
        <v>0</v>
      </c>
      <c r="I30" s="1093">
        <f>'OR04-分公司销售、承保、保全'!AT67</f>
        <v>0</v>
      </c>
      <c r="J30" s="1069">
        <f>'OR04-分公司销售、承保、保全'!AZ67</f>
        <v>0</v>
      </c>
      <c r="K30" s="1069">
        <f>'OR04-分公司销售、承保、保全'!BF67</f>
        <v>0</v>
      </c>
      <c r="L30" s="1069">
        <f>'OR04-分公司销售、承保、保全'!BL67</f>
        <v>0</v>
      </c>
      <c r="M30" s="1069">
        <f>'OR04-分公司销售、承保、保全'!BR67</f>
        <v>0</v>
      </c>
      <c r="N30" s="1093">
        <f>'OR04-分公司销售、承保、保全'!BX67</f>
        <v>0</v>
      </c>
      <c r="O30" s="1069" t="s">
        <v>2190</v>
      </c>
    </row>
    <row r="31" spans="1:15" ht="14.25">
      <c r="A31" s="1440"/>
      <c r="B31" s="1443"/>
      <c r="C31" s="1111">
        <f t="shared" si="0"/>
        <v>3.8888888888888883E-2</v>
      </c>
      <c r="D31" s="1086">
        <v>6</v>
      </c>
      <c r="E31" s="1093">
        <f>'OR04-分公司销售、承保、保全'!W67</f>
        <v>6</v>
      </c>
      <c r="F31" s="1093">
        <f>'OR04-分公司销售、承保、保全'!AC67</f>
        <v>6</v>
      </c>
      <c r="G31" s="1093">
        <f>'OR04-分公司销售、承保、保全'!AI67</f>
        <v>6</v>
      </c>
      <c r="H31" s="1093">
        <f>'OR04-分公司销售、承保、保全'!AO67</f>
        <v>6</v>
      </c>
      <c r="I31" s="1093">
        <f>'OR04-分公司销售、承保、保全'!AU67</f>
        <v>6</v>
      </c>
      <c r="J31" s="1093">
        <f>'OR04-分公司销售、承保、保全'!BA67</f>
        <v>6</v>
      </c>
      <c r="K31" s="1093">
        <f>'OR04-分公司销售、承保、保全'!BG67</f>
        <v>6</v>
      </c>
      <c r="L31" s="1093">
        <f>'OR04-分公司销售、承保、保全'!BM67</f>
        <v>6</v>
      </c>
      <c r="M31" s="1093">
        <f>'OR04-分公司销售、承保、保全'!BS67</f>
        <v>6</v>
      </c>
      <c r="N31" s="1093">
        <f>'OR04-分公司销售、承保、保全'!BY67</f>
        <v>6</v>
      </c>
      <c r="O31" s="1069" t="s">
        <v>2188</v>
      </c>
    </row>
    <row r="32" spans="1:15" ht="14.25">
      <c r="A32" s="1440"/>
      <c r="B32" s="1091" t="s">
        <v>2149</v>
      </c>
      <c r="C32" s="1092">
        <f t="shared" si="0"/>
        <v>3.8888888888888883E-2</v>
      </c>
      <c r="D32" s="1086">
        <v>0</v>
      </c>
      <c r="E32" s="1095">
        <v>0</v>
      </c>
      <c r="F32" s="1095">
        <v>0</v>
      </c>
      <c r="G32" s="1095">
        <v>0</v>
      </c>
      <c r="H32" s="1095">
        <v>0</v>
      </c>
      <c r="I32" s="1095">
        <v>0</v>
      </c>
      <c r="J32" s="1095">
        <v>0</v>
      </c>
      <c r="K32" s="1095">
        <v>0</v>
      </c>
      <c r="L32" s="1095">
        <v>0</v>
      </c>
      <c r="M32" s="1095">
        <v>0</v>
      </c>
      <c r="N32" s="1095">
        <v>0</v>
      </c>
      <c r="O32" s="1069" t="s">
        <v>2193</v>
      </c>
    </row>
    <row r="33" spans="1:27" ht="14.25">
      <c r="A33" s="1440"/>
      <c r="B33" s="1091" t="s">
        <v>2150</v>
      </c>
      <c r="C33" s="1092">
        <f t="shared" si="0"/>
        <v>3.8888888888888883E-2</v>
      </c>
      <c r="D33" s="1086">
        <v>3</v>
      </c>
      <c r="E33" s="1093">
        <f>'OR04-分公司销售、承保、保全'!W70</f>
        <v>3</v>
      </c>
      <c r="F33" s="1093">
        <f>'OR04-分公司销售、承保、保全'!AC70</f>
        <v>3</v>
      </c>
      <c r="G33" s="1093">
        <f>'OR04-分公司销售、承保、保全'!AI70</f>
        <v>3</v>
      </c>
      <c r="H33" s="1093">
        <f>'OR04-分公司销售、承保、保全'!AO70</f>
        <v>3</v>
      </c>
      <c r="I33" s="1093">
        <f>'OR04-分公司销售、承保、保全'!AU70</f>
        <v>3</v>
      </c>
      <c r="J33" s="1093">
        <f>'OR04-分公司销售、承保、保全'!BA70</f>
        <v>3</v>
      </c>
      <c r="K33" s="1093">
        <f>'OR04-分公司销售、承保、保全'!BG70</f>
        <v>3</v>
      </c>
      <c r="L33" s="1093">
        <f>'OR04-分公司销售、承保、保全'!BM70</f>
        <v>3</v>
      </c>
      <c r="M33" s="1093">
        <f>'OR04-分公司销售、承保、保全'!BS70</f>
        <v>3</v>
      </c>
      <c r="N33" s="1093">
        <f>'OR04-分公司销售、承保、保全'!BY70</f>
        <v>3</v>
      </c>
      <c r="O33" s="1069" t="s">
        <v>2188</v>
      </c>
    </row>
    <row r="34" spans="1:27" ht="14.25">
      <c r="A34" s="1440"/>
      <c r="B34" s="1091" t="s">
        <v>2151</v>
      </c>
      <c r="C34" s="1092">
        <f t="shared" si="0"/>
        <v>3.8888888888888883E-2</v>
      </c>
      <c r="D34" s="1086">
        <v>2</v>
      </c>
      <c r="E34" s="1093">
        <f>'OR04-分公司销售、承保、保全'!W72</f>
        <v>2</v>
      </c>
      <c r="F34" s="1093">
        <f>'OR04-分公司销售、承保、保全'!AC72</f>
        <v>2</v>
      </c>
      <c r="G34" s="1093">
        <f>'OR04-分公司销售、承保、保全'!AI72</f>
        <v>2</v>
      </c>
      <c r="H34" s="1093">
        <f>'OR04-分公司销售、承保、保全'!AO72</f>
        <v>2</v>
      </c>
      <c r="I34" s="1093">
        <f>'OR04-分公司销售、承保、保全'!AU72</f>
        <v>2</v>
      </c>
      <c r="J34" s="1093">
        <f>'OR04-分公司销售、承保、保全'!BA72</f>
        <v>2</v>
      </c>
      <c r="K34" s="1093">
        <f>'OR04-分公司销售、承保、保全'!BG72</f>
        <v>2</v>
      </c>
      <c r="L34" s="1093">
        <f>'OR04-分公司销售、承保、保全'!BM72</f>
        <v>2</v>
      </c>
      <c r="M34" s="1093">
        <f>'OR04-分公司销售、承保、保全'!BS72</f>
        <v>2</v>
      </c>
      <c r="N34" s="1093">
        <f>'OR04-分公司销售、承保、保全'!BY72</f>
        <v>2</v>
      </c>
      <c r="O34" s="1069" t="s">
        <v>2188</v>
      </c>
    </row>
    <row r="35" spans="1:27" ht="14.25">
      <c r="A35" s="1441"/>
      <c r="B35" s="1091" t="s">
        <v>2152</v>
      </c>
      <c r="C35" s="1092">
        <f t="shared" si="0"/>
        <v>3.8888888888888883E-2</v>
      </c>
      <c r="D35" s="1086">
        <v>10</v>
      </c>
      <c r="E35" s="1069">
        <f>MAX($D$35-2*(E11+E13+E15+E20+E22+E30),0)</f>
        <v>8</v>
      </c>
      <c r="F35" s="1069">
        <f t="shared" ref="F35:N35" si="1">MAX($D$35-2*(F11+F13+F15+F20+F22+F30),0)</f>
        <v>4</v>
      </c>
      <c r="G35" s="1069">
        <f t="shared" si="1"/>
        <v>6</v>
      </c>
      <c r="H35" s="1069">
        <f t="shared" si="1"/>
        <v>8</v>
      </c>
      <c r="I35" s="1069">
        <f t="shared" si="1"/>
        <v>4</v>
      </c>
      <c r="J35" s="1069">
        <f t="shared" si="1"/>
        <v>2</v>
      </c>
      <c r="K35" s="1069">
        <f t="shared" si="1"/>
        <v>10</v>
      </c>
      <c r="L35" s="1069">
        <f t="shared" si="1"/>
        <v>6</v>
      </c>
      <c r="M35" s="1069">
        <f t="shared" si="1"/>
        <v>10</v>
      </c>
      <c r="N35" s="1069">
        <f t="shared" si="1"/>
        <v>8</v>
      </c>
      <c r="O35" s="1069" t="s">
        <v>2192</v>
      </c>
    </row>
    <row r="36" spans="1:27" ht="14.25">
      <c r="A36" s="1426" t="s">
        <v>2153</v>
      </c>
      <c r="B36" s="1080" t="s">
        <v>2154</v>
      </c>
      <c r="C36" s="1081">
        <f t="shared" si="0"/>
        <v>3.8888888888888883E-2</v>
      </c>
      <c r="D36" s="1077">
        <v>5</v>
      </c>
      <c r="E36" s="1078">
        <v>5</v>
      </c>
      <c r="F36" s="1078">
        <v>5</v>
      </c>
      <c r="G36" s="1078">
        <v>5</v>
      </c>
      <c r="H36" s="1078">
        <v>5</v>
      </c>
      <c r="I36" s="1078">
        <v>5</v>
      </c>
      <c r="J36" s="1078">
        <v>5</v>
      </c>
      <c r="K36" s="1078">
        <v>5</v>
      </c>
      <c r="L36" s="1078">
        <v>5</v>
      </c>
      <c r="M36" s="1078">
        <v>5</v>
      </c>
      <c r="N36" s="1078">
        <v>5</v>
      </c>
      <c r="O36" s="1078" t="s">
        <v>2187</v>
      </c>
    </row>
    <row r="37" spans="1:27" ht="14.25">
      <c r="A37" s="1427"/>
      <c r="B37" s="1082" t="s">
        <v>2155</v>
      </c>
      <c r="C37" s="1081">
        <f t="shared" si="0"/>
        <v>3.8888888888888883E-2</v>
      </c>
      <c r="D37" s="1077">
        <v>3</v>
      </c>
      <c r="E37" s="1078">
        <f>'OR08-分公司理赔'!W7</f>
        <v>3</v>
      </c>
      <c r="F37" s="1078">
        <f>'OR08-分公司理赔'!AC7</f>
        <v>3</v>
      </c>
      <c r="G37" s="1078">
        <f>'OR08-分公司理赔'!AI7</f>
        <v>3</v>
      </c>
      <c r="H37" s="1078">
        <f>'OR08-分公司理赔'!AO7</f>
        <v>3</v>
      </c>
      <c r="I37" s="1078">
        <f>'OR08-分公司理赔'!AU7</f>
        <v>3</v>
      </c>
      <c r="J37" s="1078">
        <f>'OR08-分公司理赔'!BA7</f>
        <v>3</v>
      </c>
      <c r="K37" s="1078">
        <f>'OR08-分公司理赔'!BG7</f>
        <v>3</v>
      </c>
      <c r="L37" s="1078">
        <f>'OR08-分公司理赔'!BM7</f>
        <v>3</v>
      </c>
      <c r="M37" s="1078">
        <f>'OR08-分公司理赔'!BS7</f>
        <v>0</v>
      </c>
      <c r="N37" s="1078">
        <f>'OR08-分公司理赔'!BY7</f>
        <v>3</v>
      </c>
      <c r="O37" s="1078" t="s">
        <v>2186</v>
      </c>
    </row>
    <row r="38" spans="1:27" ht="14.25">
      <c r="A38" s="1427"/>
      <c r="B38" s="1082" t="s">
        <v>2196</v>
      </c>
      <c r="C38" s="1081">
        <f t="shared" si="0"/>
        <v>3.8888888888888883E-2</v>
      </c>
      <c r="D38" s="1077">
        <v>3</v>
      </c>
      <c r="E38" s="1078">
        <f>'OR08-分公司理赔'!W11</f>
        <v>3</v>
      </c>
      <c r="F38" s="1078">
        <f>'OR08-分公司理赔'!AC11</f>
        <v>3</v>
      </c>
      <c r="G38" s="1078">
        <f>'OR08-分公司理赔'!AI11</f>
        <v>3</v>
      </c>
      <c r="H38" s="1078">
        <f>'OR08-分公司理赔'!AO11</f>
        <v>3</v>
      </c>
      <c r="I38" s="1078">
        <f>'OR08-分公司理赔'!AU11</f>
        <v>3</v>
      </c>
      <c r="J38" s="1078">
        <f>'OR08-分公司理赔'!BA11</f>
        <v>3</v>
      </c>
      <c r="K38" s="1078">
        <f>'OR08-分公司理赔'!BG11</f>
        <v>3</v>
      </c>
      <c r="L38" s="1078">
        <f>'OR08-分公司理赔'!BM11</f>
        <v>3</v>
      </c>
      <c r="M38" s="1078">
        <f>'OR08-分公司理赔'!BS11</f>
        <v>3</v>
      </c>
      <c r="N38" s="1078">
        <f>'OR08-分公司理赔'!BY11</f>
        <v>3</v>
      </c>
      <c r="O38" s="1078" t="s">
        <v>2186</v>
      </c>
      <c r="Y38" s="757"/>
      <c r="Z38" s="757"/>
    </row>
    <row r="39" spans="1:27" ht="14.25">
      <c r="A39" s="1427"/>
      <c r="B39" s="1082" t="s">
        <v>2132</v>
      </c>
      <c r="C39" s="1081">
        <f t="shared" si="0"/>
        <v>3.8888888888888883E-2</v>
      </c>
      <c r="D39" s="1077">
        <v>4</v>
      </c>
      <c r="E39" s="1078">
        <f>'OR08-分公司理赔'!W12</f>
        <v>4</v>
      </c>
      <c r="F39" s="1078">
        <f>'OR08-分公司理赔'!AC12</f>
        <v>4</v>
      </c>
      <c r="G39" s="1078">
        <f>'OR08-分公司理赔'!AI12</f>
        <v>4</v>
      </c>
      <c r="H39" s="1078">
        <f>'OR08-分公司理赔'!AO12</f>
        <v>4</v>
      </c>
      <c r="I39" s="1078">
        <f>'OR08-分公司理赔'!AU12</f>
        <v>4</v>
      </c>
      <c r="J39" s="1078">
        <f>'OR08-分公司理赔'!BA12</f>
        <v>4</v>
      </c>
      <c r="K39" s="1078">
        <f>'OR08-分公司理赔'!BG12</f>
        <v>4</v>
      </c>
      <c r="L39" s="1078">
        <f>'OR08-分公司理赔'!BM12</f>
        <v>4</v>
      </c>
      <c r="M39" s="1078">
        <f>'OR08-分公司理赔'!BS12</f>
        <v>4</v>
      </c>
      <c r="N39" s="1078">
        <f>'OR08-分公司理赔'!BY12</f>
        <v>4</v>
      </c>
      <c r="O39" s="1078" t="s">
        <v>2186</v>
      </c>
    </row>
    <row r="40" spans="1:27" ht="14.25">
      <c r="A40" s="1427"/>
      <c r="B40" s="1082" t="s">
        <v>1342</v>
      </c>
      <c r="C40" s="1081">
        <f t="shared" si="0"/>
        <v>3.8888888888888883E-2</v>
      </c>
      <c r="D40" s="1077">
        <v>6</v>
      </c>
      <c r="E40" s="1078">
        <f>'OR08-分公司理赔'!W13</f>
        <v>6</v>
      </c>
      <c r="F40" s="1078">
        <f>'OR08-分公司理赔'!AC13</f>
        <v>6</v>
      </c>
      <c r="G40" s="1078">
        <f>'OR08-分公司理赔'!AI13</f>
        <v>6</v>
      </c>
      <c r="H40" s="1078">
        <f>'OR08-分公司理赔'!AO13</f>
        <v>6</v>
      </c>
      <c r="I40" s="1078">
        <f>'OR08-分公司理赔'!AU13</f>
        <v>6</v>
      </c>
      <c r="J40" s="1078">
        <f>'OR08-分公司理赔'!BA13</f>
        <v>6</v>
      </c>
      <c r="K40" s="1078">
        <f>'OR08-分公司理赔'!BG13</f>
        <v>6</v>
      </c>
      <c r="L40" s="1078">
        <f>'OR08-分公司理赔'!BM13</f>
        <v>6</v>
      </c>
      <c r="M40" s="1078">
        <f>'OR08-分公司理赔'!BS13</f>
        <v>6</v>
      </c>
      <c r="N40" s="1078">
        <f>'OR08-分公司理赔'!BY13</f>
        <v>6</v>
      </c>
      <c r="O40" s="1078" t="s">
        <v>2186</v>
      </c>
      <c r="R40" s="867"/>
      <c r="AA40" s="120"/>
    </row>
    <row r="41" spans="1:27" ht="14.25">
      <c r="A41" s="1427"/>
      <c r="B41" s="1082" t="s">
        <v>2156</v>
      </c>
      <c r="C41" s="1081">
        <f t="shared" si="0"/>
        <v>3.8888888888888883E-2</v>
      </c>
      <c r="D41" s="1077">
        <v>8</v>
      </c>
      <c r="E41" s="1078">
        <f>S43</f>
        <v>8</v>
      </c>
      <c r="F41" s="1078">
        <f>S44</f>
        <v>2</v>
      </c>
      <c r="G41" s="1078">
        <v>2</v>
      </c>
      <c r="H41" s="1078">
        <f>S46</f>
        <v>8</v>
      </c>
      <c r="I41" s="1078">
        <f>S47</f>
        <v>8</v>
      </c>
      <c r="J41" s="1078">
        <f>S48</f>
        <v>8</v>
      </c>
      <c r="K41" s="1078">
        <f>S49</f>
        <v>4</v>
      </c>
      <c r="L41" s="1078">
        <f>S50</f>
        <v>8</v>
      </c>
      <c r="M41" s="1078">
        <f>S51</f>
        <v>8</v>
      </c>
      <c r="N41" s="1078">
        <f>S52</f>
        <v>4</v>
      </c>
      <c r="O41" s="1078" t="s">
        <v>2194</v>
      </c>
      <c r="P41" s="1059"/>
      <c r="S41" s="1421">
        <v>8</v>
      </c>
      <c r="T41" s="1422"/>
      <c r="U41" s="1418">
        <v>4</v>
      </c>
      <c r="V41" s="1423"/>
      <c r="W41" s="1418">
        <v>2</v>
      </c>
      <c r="X41" s="1423"/>
      <c r="Y41" s="1418">
        <v>0</v>
      </c>
      <c r="Z41" s="1419"/>
      <c r="AA41" s="120"/>
    </row>
    <row r="42" spans="1:27" ht="14.25">
      <c r="A42" s="1427"/>
      <c r="B42" s="1082" t="s">
        <v>1354</v>
      </c>
      <c r="C42" s="1081">
        <f t="shared" si="0"/>
        <v>3.8888888888888883E-2</v>
      </c>
      <c r="D42" s="1077">
        <v>6</v>
      </c>
      <c r="E42" s="1078">
        <f>'OR08-分公司理赔'!W19</f>
        <v>6</v>
      </c>
      <c r="F42" s="1078">
        <f>'OR08-分公司理赔'!AC19</f>
        <v>6</v>
      </c>
      <c r="G42" s="1078">
        <f>'OR08-分公司理赔'!AI19</f>
        <v>6</v>
      </c>
      <c r="H42" s="1078">
        <f>'OR08-分公司理赔'!AO19</f>
        <v>6</v>
      </c>
      <c r="I42" s="1078">
        <f>'OR08-分公司理赔'!AU19</f>
        <v>6</v>
      </c>
      <c r="J42" s="1078">
        <f>'OR08-分公司理赔'!BA19</f>
        <v>6</v>
      </c>
      <c r="K42" s="1078">
        <f>'OR08-分公司理赔'!BG19</f>
        <v>6</v>
      </c>
      <c r="L42" s="1078">
        <f>'OR08-分公司理赔'!BM19</f>
        <v>6</v>
      </c>
      <c r="M42" s="1078">
        <f>'OR08-分公司理赔'!BS19</f>
        <v>6</v>
      </c>
      <c r="N42" s="1078">
        <f>'OR08-分公司理赔'!BY19</f>
        <v>6</v>
      </c>
      <c r="O42" s="1078" t="s">
        <v>2186</v>
      </c>
      <c r="Q42" s="1139" t="s">
        <v>2206</v>
      </c>
      <c r="R42" s="1140">
        <f>'OR08-分公司理赔'!L16</f>
        <v>0.19256075630859426</v>
      </c>
      <c r="S42" s="757"/>
      <c r="T42" s="1420">
        <f>R42</f>
        <v>0.19256075630859426</v>
      </c>
      <c r="U42" s="1420"/>
      <c r="V42" s="1420">
        <f>T42*1.35</f>
        <v>0.25995702101660229</v>
      </c>
      <c r="W42" s="1420"/>
      <c r="X42" s="1420">
        <f>T42*2</f>
        <v>0.38512151261718852</v>
      </c>
      <c r="Y42" s="1420"/>
    </row>
    <row r="43" spans="1:27" ht="14.25">
      <c r="A43" s="1427"/>
      <c r="B43" s="1082" t="s">
        <v>2157</v>
      </c>
      <c r="C43" s="1081">
        <f t="shared" si="0"/>
        <v>3.8888888888888883E-2</v>
      </c>
      <c r="D43" s="1077">
        <v>4</v>
      </c>
      <c r="E43" s="1078">
        <f>'OR08-分公司理赔'!W22</f>
        <v>4</v>
      </c>
      <c r="F43" s="1078">
        <f>'OR08-分公司理赔'!AC22</f>
        <v>4</v>
      </c>
      <c r="G43" s="1078">
        <f>'OR08-分公司理赔'!AI22</f>
        <v>4</v>
      </c>
      <c r="H43" s="1078">
        <f>'OR08-分公司理赔'!AO22</f>
        <v>4</v>
      </c>
      <c r="I43" s="1078">
        <f>'OR08-分公司理赔'!AU22</f>
        <v>4</v>
      </c>
      <c r="J43" s="1078">
        <f>'OR08-分公司理赔'!BA22</f>
        <v>4</v>
      </c>
      <c r="K43" s="1078">
        <f>'OR08-分公司理赔'!BG22</f>
        <v>4</v>
      </c>
      <c r="L43" s="1078">
        <f>'OR08-分公司理赔'!BM22</f>
        <v>4</v>
      </c>
      <c r="M43" s="1078">
        <f>'OR08-分公司理赔'!BS22</f>
        <v>4</v>
      </c>
      <c r="N43" s="1078">
        <f>'OR08-分公司理赔'!BY22</f>
        <v>4</v>
      </c>
      <c r="O43" s="1078" t="s">
        <v>2186</v>
      </c>
      <c r="Q43" s="256" t="s">
        <v>2197</v>
      </c>
      <c r="R43" s="1066">
        <f>'OR08-分公司理赔'!V16</f>
        <v>9.5238095238095233E-2</v>
      </c>
      <c r="S43" s="1065">
        <f t="shared" ref="S43:S52" si="2">IF(R43&gt;$X$42,0,IF(R43&gt;$V$42,2,IF(R43&gt;$T$42,4,8)))</f>
        <v>8</v>
      </c>
      <c r="Z43" s="757"/>
    </row>
    <row r="44" spans="1:27" ht="14.25">
      <c r="A44" s="1427"/>
      <c r="B44" s="1082" t="s">
        <v>2158</v>
      </c>
      <c r="C44" s="1081">
        <f t="shared" si="0"/>
        <v>3.8888888888888883E-2</v>
      </c>
      <c r="D44" s="1077">
        <v>4</v>
      </c>
      <c r="E44" s="1078">
        <f>'OR08-分公司理赔'!W25</f>
        <v>4</v>
      </c>
      <c r="F44" s="1078">
        <f>'OR08-分公司理赔'!AC25</f>
        <v>4</v>
      </c>
      <c r="G44" s="1078">
        <f>'OR08-分公司理赔'!AI25</f>
        <v>4</v>
      </c>
      <c r="H44" s="1078">
        <f>'OR08-分公司理赔'!AO25</f>
        <v>4</v>
      </c>
      <c r="I44" s="1078">
        <f>'OR08-分公司理赔'!AU25</f>
        <v>4</v>
      </c>
      <c r="J44" s="1078">
        <f>'OR08-分公司理赔'!BA25</f>
        <v>4</v>
      </c>
      <c r="K44" s="1078">
        <f>'OR08-分公司理赔'!BG25</f>
        <v>4</v>
      </c>
      <c r="L44" s="1078">
        <f>'OR08-分公司理赔'!BM25</f>
        <v>4</v>
      </c>
      <c r="M44" s="1078">
        <f>'OR08-分公司理赔'!BS25</f>
        <v>4</v>
      </c>
      <c r="N44" s="1078">
        <f>'OR08-分公司理赔'!BY25</f>
        <v>4</v>
      </c>
      <c r="O44" s="1078" t="s">
        <v>2186</v>
      </c>
      <c r="Q44" s="256" t="s">
        <v>2198</v>
      </c>
      <c r="R44" s="1066">
        <f>'OR08-分公司理赔'!AB16</f>
        <v>0.33606557377049179</v>
      </c>
      <c r="S44" s="1065">
        <f t="shared" si="2"/>
        <v>2</v>
      </c>
      <c r="T44" s="1064"/>
      <c r="U44" s="1067"/>
      <c r="V44" s="1067"/>
      <c r="W44" s="1067"/>
      <c r="X44" s="1067"/>
      <c r="Y44" s="120"/>
    </row>
    <row r="45" spans="1:27" ht="14.25">
      <c r="A45" s="1427"/>
      <c r="B45" s="1424" t="s">
        <v>2159</v>
      </c>
      <c r="C45" s="1117"/>
      <c r="D45" s="1077"/>
      <c r="E45" s="1078">
        <f>'OR08-分公司理赔'!V29</f>
        <v>0</v>
      </c>
      <c r="F45" s="1078">
        <f>'OR08-分公司理赔'!AB29</f>
        <v>0</v>
      </c>
      <c r="G45" s="1078">
        <f>'OR08-分公司理赔'!AH29</f>
        <v>0</v>
      </c>
      <c r="H45" s="1078">
        <f>'OR08-分公司理赔'!AN29</f>
        <v>0</v>
      </c>
      <c r="I45" s="1078">
        <f>'OR08-分公司理赔'!AT29</f>
        <v>0</v>
      </c>
      <c r="J45" s="1078">
        <f>'OR08-分公司理赔'!AZ29</f>
        <v>0</v>
      </c>
      <c r="K45" s="1078">
        <f>'OR08-分公司理赔'!BF29</f>
        <v>0</v>
      </c>
      <c r="L45" s="1078">
        <f>'OR08-分公司理赔'!BL29</f>
        <v>0</v>
      </c>
      <c r="M45" s="1078">
        <f>'OR08-分公司理赔'!BR29</f>
        <v>0</v>
      </c>
      <c r="N45" s="1078">
        <f>'OR08-分公司理赔'!BX29</f>
        <v>0</v>
      </c>
      <c r="O45" s="1078" t="s">
        <v>2191</v>
      </c>
      <c r="Q45" s="256" t="s">
        <v>2199</v>
      </c>
      <c r="R45" s="1066">
        <f>'OR08-分公司理赔'!AH16</f>
        <v>0.31402439024390244</v>
      </c>
      <c r="S45" s="1065">
        <f t="shared" si="2"/>
        <v>2</v>
      </c>
      <c r="T45" s="1064"/>
      <c r="U45" s="1067"/>
      <c r="V45" s="1067"/>
      <c r="W45" s="1067"/>
      <c r="X45" s="1067"/>
      <c r="Y45" s="120"/>
    </row>
    <row r="46" spans="1:27" ht="14.25">
      <c r="A46" s="1427"/>
      <c r="B46" s="1425"/>
      <c r="C46" s="1112">
        <f t="shared" si="0"/>
        <v>3.8888888888888883E-2</v>
      </c>
      <c r="D46" s="1077">
        <v>20</v>
      </c>
      <c r="E46" s="1078">
        <f>'OR08-分公司理赔'!W29</f>
        <v>20</v>
      </c>
      <c r="F46" s="1078">
        <f>'OR08-分公司理赔'!AC29</f>
        <v>20</v>
      </c>
      <c r="G46" s="1078">
        <f>'OR08-分公司理赔'!AI29</f>
        <v>20</v>
      </c>
      <c r="H46" s="1078">
        <f>'OR08-分公司理赔'!AO29</f>
        <v>20</v>
      </c>
      <c r="I46" s="1078">
        <f>'OR08-分公司理赔'!AU29</f>
        <v>20</v>
      </c>
      <c r="J46" s="1078">
        <f>'OR08-分公司理赔'!BA29</f>
        <v>20</v>
      </c>
      <c r="K46" s="1078">
        <f>'OR08-分公司理赔'!BG29</f>
        <v>20</v>
      </c>
      <c r="L46" s="1078">
        <f>'OR08-分公司理赔'!BM29</f>
        <v>20</v>
      </c>
      <c r="M46" s="1078">
        <f>'OR08-分公司理赔'!BS29</f>
        <v>20</v>
      </c>
      <c r="N46" s="1078">
        <f>'OR08-分公司理赔'!BY29</f>
        <v>20</v>
      </c>
      <c r="O46" s="1078" t="s">
        <v>2186</v>
      </c>
      <c r="Q46" s="256" t="s">
        <v>2200</v>
      </c>
      <c r="R46" s="1066">
        <f>'OR08-分公司理赔'!AN16</f>
        <v>0.14583333333333334</v>
      </c>
      <c r="S46" s="1065">
        <f t="shared" si="2"/>
        <v>8</v>
      </c>
      <c r="T46" s="1064"/>
      <c r="U46" s="1067"/>
      <c r="V46" s="1067"/>
      <c r="W46" s="1067"/>
      <c r="X46" s="1067"/>
      <c r="Y46" s="120"/>
    </row>
    <row r="47" spans="1:27" ht="14.25">
      <c r="A47" s="1427"/>
      <c r="B47" s="1424" t="s">
        <v>2160</v>
      </c>
      <c r="C47" s="1117"/>
      <c r="D47" s="1077"/>
      <c r="E47" s="1078">
        <f>'OR08-分公司理赔'!V31</f>
        <v>0</v>
      </c>
      <c r="F47" s="1078">
        <f>'OR08-分公司理赔'!AB31</f>
        <v>0</v>
      </c>
      <c r="G47" s="1078">
        <f>'OR08-分公司理赔'!AH31</f>
        <v>0</v>
      </c>
      <c r="H47" s="1078">
        <f>'OR08-分公司理赔'!AN31</f>
        <v>0</v>
      </c>
      <c r="I47" s="1078">
        <f>'OR08-分公司理赔'!AT31</f>
        <v>0</v>
      </c>
      <c r="J47" s="1078">
        <f>'OR08-分公司理赔'!AZ31</f>
        <v>0</v>
      </c>
      <c r="K47" s="1078">
        <f>'OR08-分公司理赔'!BF31</f>
        <v>0</v>
      </c>
      <c r="L47" s="1078">
        <f>'OR08-分公司理赔'!BL31</f>
        <v>0</v>
      </c>
      <c r="M47" s="1078">
        <f>'OR08-分公司理赔'!BR31</f>
        <v>0</v>
      </c>
      <c r="N47" s="1078">
        <f>'OR08-分公司理赔'!BX31</f>
        <v>0</v>
      </c>
      <c r="O47" s="1078" t="s">
        <v>2191</v>
      </c>
      <c r="Q47" s="256" t="s">
        <v>2203</v>
      </c>
      <c r="R47" s="1066">
        <f>'OR08-分公司理赔'!AT16</f>
        <v>0.18556701030927836</v>
      </c>
      <c r="S47" s="1065">
        <f t="shared" si="2"/>
        <v>8</v>
      </c>
      <c r="T47" s="1064"/>
      <c r="U47" s="1067"/>
      <c r="V47" s="1067"/>
      <c r="W47" s="1067"/>
      <c r="X47" s="1067"/>
      <c r="Y47" s="120"/>
    </row>
    <row r="48" spans="1:27" ht="14.25">
      <c r="A48" s="1427"/>
      <c r="B48" s="1425"/>
      <c r="C48" s="1112">
        <f t="shared" si="0"/>
        <v>3.8888888888888883E-2</v>
      </c>
      <c r="D48" s="1077">
        <v>12</v>
      </c>
      <c r="E48" s="1078">
        <f>'OR08-分公司理赔'!W31</f>
        <v>12</v>
      </c>
      <c r="F48" s="1078">
        <f>'OR08-分公司理赔'!AC31</f>
        <v>12</v>
      </c>
      <c r="G48" s="1078">
        <f>'OR08-分公司理赔'!AI31</f>
        <v>12</v>
      </c>
      <c r="H48" s="1078">
        <f>'OR08-分公司理赔'!AO31</f>
        <v>12</v>
      </c>
      <c r="I48" s="1078">
        <f>'OR08-分公司理赔'!AU31</f>
        <v>12</v>
      </c>
      <c r="J48" s="1078">
        <f>'OR08-分公司理赔'!BA31</f>
        <v>12</v>
      </c>
      <c r="K48" s="1078">
        <f>'OR08-分公司理赔'!BG31</f>
        <v>12</v>
      </c>
      <c r="L48" s="1078">
        <f>'OR08-分公司理赔'!BM31</f>
        <v>12</v>
      </c>
      <c r="M48" s="1078">
        <f>'OR08-分公司理赔'!BS31</f>
        <v>12</v>
      </c>
      <c r="N48" s="1078">
        <f>'OR08-分公司理赔'!BY31</f>
        <v>12</v>
      </c>
      <c r="O48" s="1078" t="s">
        <v>2186</v>
      </c>
      <c r="Q48" s="256" t="s">
        <v>2201</v>
      </c>
      <c r="R48" s="1066">
        <f>'OR08-分公司理赔'!AZ16</f>
        <v>0.10906040268456375</v>
      </c>
      <c r="S48" s="1065">
        <f t="shared" si="2"/>
        <v>8</v>
      </c>
      <c r="T48" s="1064"/>
      <c r="U48" s="1067"/>
      <c r="V48" s="1067"/>
      <c r="W48" s="1067"/>
      <c r="X48" s="1067"/>
      <c r="Y48" s="120"/>
    </row>
    <row r="49" spans="1:25" ht="14.25">
      <c r="A49" s="1427"/>
      <c r="B49" s="1080" t="s">
        <v>2149</v>
      </c>
      <c r="C49" s="1081">
        <f t="shared" si="0"/>
        <v>3.8888888888888883E-2</v>
      </c>
      <c r="D49" s="1077">
        <v>0</v>
      </c>
      <c r="E49" s="1083">
        <v>0</v>
      </c>
      <c r="F49" s="1083">
        <v>0</v>
      </c>
      <c r="G49" s="1083">
        <v>0</v>
      </c>
      <c r="H49" s="1083">
        <v>0</v>
      </c>
      <c r="I49" s="1083">
        <v>0</v>
      </c>
      <c r="J49" s="1084">
        <v>0</v>
      </c>
      <c r="K49" s="1083">
        <v>0</v>
      </c>
      <c r="L49" s="1083">
        <v>0</v>
      </c>
      <c r="M49" s="1083">
        <v>0</v>
      </c>
      <c r="N49" s="1083">
        <v>0</v>
      </c>
      <c r="O49" s="1078" t="s">
        <v>2207</v>
      </c>
      <c r="Q49" s="256" t="s">
        <v>2202</v>
      </c>
      <c r="R49" s="1066">
        <f>'OR08-分公司理赔'!BF16</f>
        <v>0.20930232558139536</v>
      </c>
      <c r="S49" s="1065">
        <f t="shared" si="2"/>
        <v>4</v>
      </c>
      <c r="T49" s="120"/>
      <c r="U49" s="1067"/>
      <c r="V49" s="1067"/>
      <c r="W49" s="1067"/>
      <c r="X49" s="1067"/>
      <c r="Y49" s="120"/>
    </row>
    <row r="50" spans="1:25" ht="14.25">
      <c r="A50" s="1427"/>
      <c r="B50" s="1082" t="s">
        <v>2162</v>
      </c>
      <c r="C50" s="1081">
        <f t="shared" si="0"/>
        <v>3.8888888888888883E-2</v>
      </c>
      <c r="D50" s="1077">
        <v>2</v>
      </c>
      <c r="E50" s="1078">
        <f>'OR08-分公司理赔'!W34</f>
        <v>2</v>
      </c>
      <c r="F50" s="1078">
        <f>'OR08-分公司理赔'!AC34</f>
        <v>2</v>
      </c>
      <c r="G50" s="1078">
        <f>'OR08-分公司理赔'!AI34</f>
        <v>2</v>
      </c>
      <c r="H50" s="1078">
        <f>'OR08-分公司理赔'!AO34</f>
        <v>2</v>
      </c>
      <c r="I50" s="1078">
        <f>'OR08-分公司理赔'!AU34</f>
        <v>2</v>
      </c>
      <c r="J50" s="1078">
        <f>'OR08-分公司理赔'!BA34</f>
        <v>2</v>
      </c>
      <c r="K50" s="1078">
        <f>'OR08-分公司理赔'!BG34</f>
        <v>2</v>
      </c>
      <c r="L50" s="1078">
        <f>'OR08-分公司理赔'!BM34</f>
        <v>2</v>
      </c>
      <c r="M50" s="1078">
        <f>'OR08-分公司理赔'!BS34</f>
        <v>2</v>
      </c>
      <c r="N50" s="1078">
        <f>'OR08-分公司理赔'!BY34</f>
        <v>2</v>
      </c>
      <c r="O50" s="1078" t="s">
        <v>2186</v>
      </c>
      <c r="Q50" s="256" t="s">
        <v>2204</v>
      </c>
      <c r="R50" s="1066">
        <f>'OR08-分公司理赔'!BL16</f>
        <v>0.18439716312056736</v>
      </c>
      <c r="S50" s="1065">
        <f t="shared" si="2"/>
        <v>8</v>
      </c>
      <c r="T50" s="120"/>
      <c r="U50" s="1067"/>
      <c r="V50" s="1067"/>
      <c r="W50" s="1067"/>
      <c r="X50" s="1067"/>
      <c r="Y50" s="120"/>
    </row>
    <row r="51" spans="1:25" ht="14.25">
      <c r="A51" s="1427"/>
      <c r="B51" s="1082" t="s">
        <v>1377</v>
      </c>
      <c r="C51" s="1081">
        <f t="shared" si="0"/>
        <v>3.8888888888888883E-2</v>
      </c>
      <c r="D51" s="1077">
        <v>2</v>
      </c>
      <c r="E51" s="1078">
        <f>'OR08-分公司理赔'!W36</f>
        <v>2</v>
      </c>
      <c r="F51" s="1078">
        <f>'OR08-分公司理赔'!AC36</f>
        <v>2</v>
      </c>
      <c r="G51" s="1078">
        <f>'OR08-分公司理赔'!AI36</f>
        <v>2</v>
      </c>
      <c r="H51" s="1078">
        <f>'OR08-分公司理赔'!AO36</f>
        <v>2</v>
      </c>
      <c r="I51" s="1078">
        <f>'OR08-分公司理赔'!AU36</f>
        <v>2</v>
      </c>
      <c r="J51" s="1078">
        <f>'OR08-分公司理赔'!BA36</f>
        <v>2</v>
      </c>
      <c r="K51" s="1078">
        <f>'OR08-分公司理赔'!BG36</f>
        <v>2</v>
      </c>
      <c r="L51" s="1078">
        <f>'OR08-分公司理赔'!BM36</f>
        <v>2</v>
      </c>
      <c r="M51" s="1078">
        <f>'OR08-分公司理赔'!BS36</f>
        <v>2</v>
      </c>
      <c r="N51" s="1078">
        <f>'OR08-分公司理赔'!BY36</f>
        <v>2</v>
      </c>
      <c r="O51" s="1078" t="s">
        <v>2186</v>
      </c>
      <c r="Q51" s="256" t="s">
        <v>2161</v>
      </c>
      <c r="R51" s="1066">
        <f>'OR08-分公司理赔'!BR16</f>
        <v>0.14893617021276595</v>
      </c>
      <c r="S51" s="1065">
        <f t="shared" si="2"/>
        <v>8</v>
      </c>
      <c r="T51" s="120"/>
      <c r="U51" s="1067"/>
      <c r="V51" s="1067"/>
      <c r="W51" s="1067"/>
      <c r="X51" s="1067"/>
      <c r="Y51" s="120"/>
    </row>
    <row r="52" spans="1:25" ht="14.25">
      <c r="A52" s="1427"/>
      <c r="B52" s="1082" t="s">
        <v>2163</v>
      </c>
      <c r="C52" s="1081">
        <f t="shared" si="0"/>
        <v>3.8888888888888883E-2</v>
      </c>
      <c r="D52" s="1077">
        <v>1</v>
      </c>
      <c r="E52" s="1078">
        <f>'OR08-分公司理赔'!W37</f>
        <v>1</v>
      </c>
      <c r="F52" s="1078">
        <f>'OR08-分公司理赔'!AC37</f>
        <v>1</v>
      </c>
      <c r="G52" s="1078">
        <f>'OR08-分公司理赔'!AI37</f>
        <v>1</v>
      </c>
      <c r="H52" s="1078">
        <f>'OR08-分公司理赔'!AO37</f>
        <v>1</v>
      </c>
      <c r="I52" s="1078">
        <f>'OR08-分公司理赔'!AU37</f>
        <v>1</v>
      </c>
      <c r="J52" s="1078">
        <f>'OR08-分公司理赔'!BA37</f>
        <v>1</v>
      </c>
      <c r="K52" s="1078">
        <f>'OR08-分公司理赔'!BG37</f>
        <v>1</v>
      </c>
      <c r="L52" s="1078">
        <f>'OR08-分公司理赔'!BM37</f>
        <v>1</v>
      </c>
      <c r="M52" s="1078">
        <f>'OR08-分公司理赔'!BS37</f>
        <v>1</v>
      </c>
      <c r="N52" s="1078">
        <f>'OR08-分公司理赔'!BY37</f>
        <v>1</v>
      </c>
      <c r="O52" s="1078" t="s">
        <v>2186</v>
      </c>
      <c r="Q52" s="256" t="s">
        <v>2205</v>
      </c>
      <c r="R52" s="1066">
        <f>'OR08-分公司理赔'!BX16</f>
        <v>0.19718309859154928</v>
      </c>
      <c r="S52" s="1065">
        <f t="shared" si="2"/>
        <v>4</v>
      </c>
      <c r="T52" s="120"/>
      <c r="U52" s="1067"/>
      <c r="V52" s="1067"/>
      <c r="W52" s="1067"/>
      <c r="X52" s="1067"/>
      <c r="Y52" s="120"/>
    </row>
    <row r="53" spans="1:25" ht="14.25">
      <c r="A53" s="1428"/>
      <c r="B53" s="1080" t="s">
        <v>2164</v>
      </c>
      <c r="C53" s="1081">
        <f t="shared" si="0"/>
        <v>3.8888888888888883E-2</v>
      </c>
      <c r="D53" s="1077">
        <v>10</v>
      </c>
      <c r="E53" s="1078">
        <f>MAX(10-2*(E45+E47),0)</f>
        <v>10</v>
      </c>
      <c r="F53" s="1078">
        <f t="shared" ref="F53:N53" si="3">MAX(10-2*(F45+F47),0)</f>
        <v>10</v>
      </c>
      <c r="G53" s="1078">
        <f t="shared" si="3"/>
        <v>10</v>
      </c>
      <c r="H53" s="1078">
        <f t="shared" si="3"/>
        <v>10</v>
      </c>
      <c r="I53" s="1078">
        <f t="shared" si="3"/>
        <v>10</v>
      </c>
      <c r="J53" s="1078">
        <f t="shared" si="3"/>
        <v>10</v>
      </c>
      <c r="K53" s="1078">
        <f t="shared" si="3"/>
        <v>10</v>
      </c>
      <c r="L53" s="1078">
        <f t="shared" si="3"/>
        <v>10</v>
      </c>
      <c r="M53" s="1078">
        <f t="shared" si="3"/>
        <v>10</v>
      </c>
      <c r="N53" s="1078">
        <f t="shared" si="3"/>
        <v>10</v>
      </c>
      <c r="O53" s="1078" t="s">
        <v>2192</v>
      </c>
      <c r="T53" s="120"/>
      <c r="U53" s="120"/>
      <c r="V53" s="120"/>
      <c r="W53" s="120"/>
      <c r="X53" s="120"/>
      <c r="Y53" s="120"/>
    </row>
    <row r="54" spans="1:25" ht="14.25">
      <c r="A54" s="1431" t="s">
        <v>2165</v>
      </c>
      <c r="B54" s="1087" t="s">
        <v>2166</v>
      </c>
      <c r="C54" s="1088">
        <f t="shared" ref="C54:C81" si="4">40%*(1/18)</f>
        <v>2.2222222222222223E-2</v>
      </c>
      <c r="D54" s="1085">
        <v>5</v>
      </c>
      <c r="E54" s="1068">
        <v>5</v>
      </c>
      <c r="F54" s="1068">
        <v>5</v>
      </c>
      <c r="G54" s="1068">
        <v>5</v>
      </c>
      <c r="H54" s="1068">
        <v>5</v>
      </c>
      <c r="I54" s="1068">
        <v>5</v>
      </c>
      <c r="J54" s="1068">
        <v>5</v>
      </c>
      <c r="K54" s="1068">
        <f>'OR13-分公司财务管理'!BG5</f>
        <v>0</v>
      </c>
      <c r="L54" s="1068">
        <v>5</v>
      </c>
      <c r="M54" s="1068">
        <v>5</v>
      </c>
      <c r="N54" s="1068">
        <v>5</v>
      </c>
      <c r="O54" s="1068" t="s">
        <v>2187</v>
      </c>
      <c r="T54" s="120"/>
      <c r="U54" s="120"/>
      <c r="V54" s="120"/>
      <c r="W54" s="120"/>
      <c r="X54" s="120"/>
      <c r="Y54" s="120"/>
    </row>
    <row r="55" spans="1:25" ht="14.25">
      <c r="A55" s="1432"/>
      <c r="B55" s="1087" t="s">
        <v>2167</v>
      </c>
      <c r="C55" s="1088">
        <f t="shared" si="4"/>
        <v>2.2222222222222223E-2</v>
      </c>
      <c r="D55" s="1085">
        <v>2</v>
      </c>
      <c r="E55" s="1089">
        <f>'OR13-分公司财务管理'!W5</f>
        <v>2</v>
      </c>
      <c r="F55" s="1089">
        <f>'OR13-分公司财务管理'!AC5</f>
        <v>0</v>
      </c>
      <c r="G55" s="1068">
        <f>'OR13-分公司财务管理'!AI5</f>
        <v>2</v>
      </c>
      <c r="H55" s="1068">
        <f>'OR13-分公司财务管理'!AO5</f>
        <v>2</v>
      </c>
      <c r="I55" s="1068">
        <f>'OR13-分公司财务管理'!AU5</f>
        <v>2</v>
      </c>
      <c r="J55" s="1068">
        <f>'OR13-分公司财务管理'!BA5</f>
        <v>2</v>
      </c>
      <c r="K55" s="1089">
        <f>'OR13-分公司财务管理'!BG5</f>
        <v>0</v>
      </c>
      <c r="L55" s="1089">
        <f>'OR13-分公司财务管理'!BM5</f>
        <v>2</v>
      </c>
      <c r="M55" s="1068">
        <f>'OR13-分公司财务管理'!BS5</f>
        <v>2</v>
      </c>
      <c r="N55" s="1068">
        <f>'OR13-分公司财务管理'!BY5</f>
        <v>2</v>
      </c>
      <c r="O55" s="1068" t="s">
        <v>2186</v>
      </c>
    </row>
    <row r="56" spans="1:25" ht="14.25">
      <c r="A56" s="1432"/>
      <c r="B56" s="1087" t="s">
        <v>2168</v>
      </c>
      <c r="C56" s="1088">
        <f t="shared" si="4"/>
        <v>2.2222222222222223E-2</v>
      </c>
      <c r="D56" s="1085">
        <v>2</v>
      </c>
      <c r="E56" s="1089">
        <f>'OR13-分公司财务管理'!W9</f>
        <v>2</v>
      </c>
      <c r="F56" s="1089">
        <f>'OR13-分公司财务管理'!AC9</f>
        <v>2</v>
      </c>
      <c r="G56" s="1089">
        <f>'OR13-分公司财务管理'!AI9</f>
        <v>0</v>
      </c>
      <c r="H56" s="1089">
        <f>'OR13-分公司财务管理'!AO9</f>
        <v>2</v>
      </c>
      <c r="I56" s="1089">
        <f>'OR13-分公司财务管理'!AU9</f>
        <v>2</v>
      </c>
      <c r="J56" s="1089">
        <f>'OR13-分公司财务管理'!BA9</f>
        <v>2</v>
      </c>
      <c r="K56" s="1089">
        <f>'OR13-分公司财务管理'!BG9</f>
        <v>2</v>
      </c>
      <c r="L56" s="1089">
        <f>'OR13-分公司财务管理'!BM9</f>
        <v>2</v>
      </c>
      <c r="M56" s="1089">
        <f>'OR13-分公司财务管理'!BS9</f>
        <v>2</v>
      </c>
      <c r="N56" s="1089">
        <f>'OR13-分公司财务管理'!BY9</f>
        <v>2</v>
      </c>
      <c r="O56" s="1068" t="s">
        <v>2186</v>
      </c>
    </row>
    <row r="57" spans="1:25" ht="14.25">
      <c r="A57" s="1432"/>
      <c r="B57" s="1087" t="s">
        <v>2169</v>
      </c>
      <c r="C57" s="1088">
        <f t="shared" si="4"/>
        <v>2.2222222222222223E-2</v>
      </c>
      <c r="D57" s="1085">
        <v>2</v>
      </c>
      <c r="E57" s="1089">
        <f>'OR13-分公司财务管理'!W12</f>
        <v>2</v>
      </c>
      <c r="F57" s="1089">
        <f>'OR13-分公司财务管理'!AC12</f>
        <v>2</v>
      </c>
      <c r="G57" s="1089">
        <f>'OR13-分公司财务管理'!AI12</f>
        <v>2</v>
      </c>
      <c r="H57" s="1089">
        <f>'OR13-分公司财务管理'!AO12</f>
        <v>2</v>
      </c>
      <c r="I57" s="1089">
        <f>'OR13-分公司财务管理'!AU12</f>
        <v>2</v>
      </c>
      <c r="J57" s="1089">
        <f>'OR13-分公司财务管理'!BA12</f>
        <v>2</v>
      </c>
      <c r="K57" s="1089">
        <f>'OR13-分公司财务管理'!BG12</f>
        <v>2</v>
      </c>
      <c r="L57" s="1089">
        <f>'OR13-分公司财务管理'!BM12</f>
        <v>2</v>
      </c>
      <c r="M57" s="1089">
        <f>'OR13-分公司财务管理'!BS12</f>
        <v>2</v>
      </c>
      <c r="N57" s="1089">
        <f>'OR13-分公司财务管理'!BY12</f>
        <v>2</v>
      </c>
      <c r="O57" s="1068" t="s">
        <v>2186</v>
      </c>
    </row>
    <row r="58" spans="1:25" ht="14.25">
      <c r="A58" s="1432"/>
      <c r="B58" s="1087" t="s">
        <v>1400</v>
      </c>
      <c r="C58" s="1088">
        <f t="shared" si="4"/>
        <v>2.2222222222222223E-2</v>
      </c>
      <c r="D58" s="1085">
        <v>2</v>
      </c>
      <c r="E58" s="1089">
        <f>'OR13-分公司财务管理'!W15</f>
        <v>2</v>
      </c>
      <c r="F58" s="1089">
        <f>'OR13-分公司财务管理'!AC15</f>
        <v>2</v>
      </c>
      <c r="G58" s="1089">
        <f>'OR13-分公司财务管理'!AI15</f>
        <v>2</v>
      </c>
      <c r="H58" s="1089">
        <f>'OR13-分公司财务管理'!AO15</f>
        <v>2</v>
      </c>
      <c r="I58" s="1089">
        <f>'OR13-分公司财务管理'!AU15</f>
        <v>2</v>
      </c>
      <c r="J58" s="1089">
        <f>'OR13-分公司财务管理'!BA15</f>
        <v>2</v>
      </c>
      <c r="K58" s="1089">
        <f>'OR13-分公司财务管理'!BG15</f>
        <v>2</v>
      </c>
      <c r="L58" s="1089">
        <f>'OR13-分公司财务管理'!BM15</f>
        <v>2</v>
      </c>
      <c r="M58" s="1089">
        <f>'OR13-分公司财务管理'!BS15</f>
        <v>2</v>
      </c>
      <c r="N58" s="1089">
        <f>'OR13-分公司财务管理'!BY15</f>
        <v>2</v>
      </c>
      <c r="O58" s="1068" t="s">
        <v>2186</v>
      </c>
    </row>
    <row r="59" spans="1:25" ht="14.25">
      <c r="A59" s="1432"/>
      <c r="B59" s="1087" t="s">
        <v>1226</v>
      </c>
      <c r="C59" s="1088">
        <f t="shared" si="4"/>
        <v>2.2222222222222223E-2</v>
      </c>
      <c r="D59" s="1085">
        <v>2</v>
      </c>
      <c r="E59" s="1089">
        <f>'OR13-分公司财务管理'!W16</f>
        <v>2</v>
      </c>
      <c r="F59" s="1089">
        <f>'OR13-分公司财务管理'!AC16</f>
        <v>2</v>
      </c>
      <c r="G59" s="1089">
        <f>'OR13-分公司财务管理'!AI16</f>
        <v>2</v>
      </c>
      <c r="H59" s="1089">
        <f>'OR13-分公司财务管理'!AO16</f>
        <v>2</v>
      </c>
      <c r="I59" s="1089">
        <f>'OR13-分公司财务管理'!AU16</f>
        <v>2</v>
      </c>
      <c r="J59" s="1089">
        <f>'OR13-分公司财务管理'!BA16</f>
        <v>2</v>
      </c>
      <c r="K59" s="1089">
        <f>'OR13-分公司财务管理'!BG16</f>
        <v>2</v>
      </c>
      <c r="L59" s="1089">
        <f>'OR13-分公司财务管理'!BM16</f>
        <v>2</v>
      </c>
      <c r="M59" s="1089">
        <f>'OR13-分公司财务管理'!BS16</f>
        <v>2</v>
      </c>
      <c r="N59" s="1089">
        <f>'OR13-分公司财务管理'!BY16</f>
        <v>2</v>
      </c>
      <c r="O59" s="1068" t="s">
        <v>2186</v>
      </c>
    </row>
    <row r="60" spans="1:25" ht="14.25">
      <c r="A60" s="1432"/>
      <c r="B60" s="1087" t="s">
        <v>2170</v>
      </c>
      <c r="C60" s="1088">
        <f t="shared" si="4"/>
        <v>2.2222222222222223E-2</v>
      </c>
      <c r="D60" s="1085">
        <v>4</v>
      </c>
      <c r="E60" s="1089">
        <f>'OR13-分公司财务管理'!W17</f>
        <v>4</v>
      </c>
      <c r="F60" s="1089">
        <f>'OR13-分公司财务管理'!AC17</f>
        <v>4</v>
      </c>
      <c r="G60" s="1089">
        <f>'OR13-分公司财务管理'!AI17</f>
        <v>4</v>
      </c>
      <c r="H60" s="1089">
        <f>'OR13-分公司财务管理'!AO17</f>
        <v>4</v>
      </c>
      <c r="I60" s="1089">
        <f>'OR13-分公司财务管理'!AU17</f>
        <v>4</v>
      </c>
      <c r="J60" s="1089">
        <f>'OR13-分公司财务管理'!BA17</f>
        <v>4</v>
      </c>
      <c r="K60" s="1089">
        <f>'OR13-分公司财务管理'!BG17</f>
        <v>4</v>
      </c>
      <c r="L60" s="1089">
        <f>'OR13-分公司财务管理'!BM17</f>
        <v>4</v>
      </c>
      <c r="M60" s="1089">
        <f>'OR13-分公司财务管理'!BS17</f>
        <v>4</v>
      </c>
      <c r="N60" s="1089">
        <f>'OR13-分公司财务管理'!BY17</f>
        <v>4</v>
      </c>
      <c r="O60" s="1068" t="s">
        <v>2186</v>
      </c>
    </row>
    <row r="61" spans="1:25" ht="14.25">
      <c r="A61" s="1432"/>
      <c r="B61" s="1433" t="s">
        <v>2171</v>
      </c>
      <c r="C61" s="1118"/>
      <c r="D61" s="1085"/>
      <c r="E61" s="1068">
        <f>'OR13-分公司财务管理'!V20</f>
        <v>0</v>
      </c>
      <c r="F61" s="1068">
        <f>'OR13-分公司财务管理'!AB17</f>
        <v>0</v>
      </c>
      <c r="G61" s="1089">
        <f>'OR13-分公司财务管理'!AH17</f>
        <v>0</v>
      </c>
      <c r="H61" s="1068">
        <f>'OR13-分公司财务管理'!AN20</f>
        <v>0</v>
      </c>
      <c r="I61" s="1068">
        <f>'OR13-分公司财务管理'!AT20</f>
        <v>0</v>
      </c>
      <c r="J61" s="1068">
        <f>'OR13-分公司财务管理'!AZ20</f>
        <v>0</v>
      </c>
      <c r="K61" s="1068">
        <f>'OR13-分公司财务管理'!BF20</f>
        <v>0</v>
      </c>
      <c r="L61" s="1068">
        <f>'OR13-分公司财务管理'!BL20</f>
        <v>0</v>
      </c>
      <c r="M61" s="1068">
        <f>'OR13-分公司财务管理'!BR20</f>
        <v>0</v>
      </c>
      <c r="N61" s="1068">
        <f>'OR13-分公司财务管理'!BX20</f>
        <v>0</v>
      </c>
      <c r="O61" s="1068" t="s">
        <v>2191</v>
      </c>
    </row>
    <row r="62" spans="1:25" ht="14.25">
      <c r="A62" s="1432"/>
      <c r="B62" s="1434"/>
      <c r="C62" s="1114">
        <f t="shared" si="4"/>
        <v>2.2222222222222223E-2</v>
      </c>
      <c r="D62" s="1085">
        <v>6</v>
      </c>
      <c r="E62" s="1089">
        <f>'OR13-分公司财务管理'!W20</f>
        <v>6</v>
      </c>
      <c r="F62" s="1089">
        <f>'OR13-分公司财务管理'!AC20</f>
        <v>6</v>
      </c>
      <c r="G62" s="1089">
        <f>'OR13-分公司财务管理'!AI20</f>
        <v>6</v>
      </c>
      <c r="H62" s="1089">
        <f>'OR13-分公司财务管理'!AO20</f>
        <v>6</v>
      </c>
      <c r="I62" s="1089">
        <f>'OR13-分公司财务管理'!AU20</f>
        <v>6</v>
      </c>
      <c r="J62" s="1089">
        <f>'OR13-分公司财务管理'!BA20</f>
        <v>6</v>
      </c>
      <c r="K62" s="1089">
        <f>'OR13-分公司财务管理'!BG20</f>
        <v>6</v>
      </c>
      <c r="L62" s="1089">
        <f>'OR13-分公司财务管理'!BM20</f>
        <v>6</v>
      </c>
      <c r="M62" s="1089">
        <f>'OR13-分公司财务管理'!BS20</f>
        <v>6</v>
      </c>
      <c r="N62" s="1089">
        <f>'OR13-分公司财务管理'!BY20</f>
        <v>6</v>
      </c>
      <c r="O62" s="1068" t="s">
        <v>2186</v>
      </c>
    </row>
    <row r="63" spans="1:25" ht="14.25">
      <c r="A63" s="1432"/>
      <c r="B63" s="1087" t="s">
        <v>172</v>
      </c>
      <c r="C63" s="1088">
        <f t="shared" si="4"/>
        <v>2.2222222222222223E-2</v>
      </c>
      <c r="D63" s="1085">
        <v>1</v>
      </c>
      <c r="E63" s="1089">
        <f>'OR13-分公司财务管理'!W22</f>
        <v>1</v>
      </c>
      <c r="F63" s="1089">
        <f>'OR13-分公司财务管理'!AC22</f>
        <v>1</v>
      </c>
      <c r="G63" s="1089">
        <f>'OR13-分公司财务管理'!AI22</f>
        <v>1</v>
      </c>
      <c r="H63" s="1089">
        <f>'OR13-分公司财务管理'!AO22</f>
        <v>1</v>
      </c>
      <c r="I63" s="1089">
        <f>'OR13-分公司财务管理'!AU22</f>
        <v>0</v>
      </c>
      <c r="J63" s="1089">
        <f>'OR13-分公司财务管理'!BA22</f>
        <v>1</v>
      </c>
      <c r="K63" s="1089">
        <f>'OR13-分公司财务管理'!BG22</f>
        <v>1</v>
      </c>
      <c r="L63" s="1089">
        <f>'OR13-分公司财务管理'!BM22</f>
        <v>1</v>
      </c>
      <c r="M63" s="1089">
        <f>'OR13-分公司财务管理'!BS22</f>
        <v>1</v>
      </c>
      <c r="N63" s="1089">
        <f>'OR13-分公司财务管理'!BY22</f>
        <v>1</v>
      </c>
      <c r="O63" s="1068" t="s">
        <v>2186</v>
      </c>
    </row>
    <row r="64" spans="1:25" ht="14.25">
      <c r="A64" s="1432"/>
      <c r="B64" s="1087" t="s">
        <v>1420</v>
      </c>
      <c r="C64" s="1088">
        <f t="shared" si="4"/>
        <v>2.2222222222222223E-2</v>
      </c>
      <c r="D64" s="1085">
        <v>3</v>
      </c>
      <c r="E64" s="1089">
        <f>'OR13-分公司财务管理'!W23</f>
        <v>3</v>
      </c>
      <c r="F64" s="1089">
        <f>'OR13-分公司财务管理'!AC23</f>
        <v>3</v>
      </c>
      <c r="G64" s="1089">
        <f>'OR13-分公司财务管理'!AI23</f>
        <v>3</v>
      </c>
      <c r="H64" s="1089">
        <f>'OR13-分公司财务管理'!AO23</f>
        <v>3</v>
      </c>
      <c r="I64" s="1089">
        <f>'OR13-分公司财务管理'!AU23</f>
        <v>3</v>
      </c>
      <c r="J64" s="1089">
        <f>'OR13-分公司财务管理'!BA23</f>
        <v>3</v>
      </c>
      <c r="K64" s="1089">
        <f>'OR13-分公司财务管理'!BG23</f>
        <v>3</v>
      </c>
      <c r="L64" s="1089">
        <f>'OR13-分公司财务管理'!BM23</f>
        <v>3</v>
      </c>
      <c r="M64" s="1089">
        <f>'OR13-分公司财务管理'!BS23</f>
        <v>3</v>
      </c>
      <c r="N64" s="1089">
        <f>'OR13-分公司财务管理'!BY23</f>
        <v>3</v>
      </c>
      <c r="O64" s="1068" t="s">
        <v>2186</v>
      </c>
    </row>
    <row r="65" spans="1:15" ht="14.25">
      <c r="A65" s="1432"/>
      <c r="B65" s="1087" t="s">
        <v>1427</v>
      </c>
      <c r="C65" s="1088">
        <f t="shared" si="4"/>
        <v>2.2222222222222223E-2</v>
      </c>
      <c r="D65" s="1085">
        <v>3</v>
      </c>
      <c r="E65" s="1089">
        <f>'OR13-分公司财务管理'!W28</f>
        <v>3</v>
      </c>
      <c r="F65" s="1089">
        <f>'OR13-分公司财务管理'!AC28</f>
        <v>3</v>
      </c>
      <c r="G65" s="1089">
        <f>'OR13-分公司财务管理'!AI28</f>
        <v>3</v>
      </c>
      <c r="H65" s="1089">
        <f>'OR13-分公司财务管理'!AO28</f>
        <v>3</v>
      </c>
      <c r="I65" s="1089">
        <f>'OR13-分公司财务管理'!AU28</f>
        <v>3</v>
      </c>
      <c r="J65" s="1089">
        <f>'OR13-分公司财务管理'!BA28</f>
        <v>3</v>
      </c>
      <c r="K65" s="1089">
        <f>'OR13-分公司财务管理'!BG28</f>
        <v>3</v>
      </c>
      <c r="L65" s="1089">
        <f>'OR13-分公司财务管理'!BM28</f>
        <v>3</v>
      </c>
      <c r="M65" s="1089">
        <f>'OR13-分公司财务管理'!BS28</f>
        <v>3</v>
      </c>
      <c r="N65" s="1089">
        <f>'OR13-分公司财务管理'!BY28</f>
        <v>3</v>
      </c>
      <c r="O65" s="1068" t="s">
        <v>2186</v>
      </c>
    </row>
    <row r="66" spans="1:15" ht="14.25">
      <c r="A66" s="1432"/>
      <c r="B66" s="1087" t="s">
        <v>1433</v>
      </c>
      <c r="C66" s="1088">
        <f t="shared" si="4"/>
        <v>2.2222222222222223E-2</v>
      </c>
      <c r="D66" s="1085">
        <v>3</v>
      </c>
      <c r="E66" s="1089">
        <f>'OR13-分公司财务管理'!W32</f>
        <v>0</v>
      </c>
      <c r="F66" s="1089">
        <f>'OR13-分公司财务管理'!AC32</f>
        <v>3</v>
      </c>
      <c r="G66" s="1089">
        <f>'OR13-分公司财务管理'!AI32</f>
        <v>3</v>
      </c>
      <c r="H66" s="1089">
        <f>'OR13-分公司财务管理'!AO32</f>
        <v>3</v>
      </c>
      <c r="I66" s="1089">
        <f>'OR13-分公司财务管理'!AU32</f>
        <v>3</v>
      </c>
      <c r="J66" s="1089">
        <f>'OR13-分公司财务管理'!BA32</f>
        <v>3</v>
      </c>
      <c r="K66" s="1089">
        <f>'OR13-分公司财务管理'!BG32</f>
        <v>3</v>
      </c>
      <c r="L66" s="1089">
        <f>'OR13-分公司财务管理'!BM32</f>
        <v>3</v>
      </c>
      <c r="M66" s="1089">
        <f>'OR13-分公司财务管理'!BS32</f>
        <v>3</v>
      </c>
      <c r="N66" s="1089">
        <f>'OR13-分公司财务管理'!BY32</f>
        <v>3</v>
      </c>
      <c r="O66" s="1068" t="s">
        <v>2186</v>
      </c>
    </row>
    <row r="67" spans="1:15" ht="14.25">
      <c r="A67" s="1432"/>
      <c r="B67" s="1435" t="s">
        <v>2172</v>
      </c>
      <c r="C67" s="1118"/>
      <c r="D67" s="1085"/>
      <c r="E67" s="1068">
        <f>'OR13-分公司财务管理'!V36</f>
        <v>0</v>
      </c>
      <c r="F67" s="1068">
        <f>'OR13-分公司财务管理'!AB36</f>
        <v>1</v>
      </c>
      <c r="G67" s="1068">
        <f>'OR13-分公司财务管理'!AH36</f>
        <v>0</v>
      </c>
      <c r="H67" s="1068">
        <f>'OR13-分公司财务管理'!AN36</f>
        <v>0</v>
      </c>
      <c r="I67" s="1068">
        <f>'OR13-分公司财务管理'!AT36</f>
        <v>0</v>
      </c>
      <c r="J67" s="1068">
        <f>'OR13-分公司财务管理'!AZ36</f>
        <v>0</v>
      </c>
      <c r="K67" s="1068">
        <f>'OR13-分公司财务管理'!BF36</f>
        <v>0</v>
      </c>
      <c r="L67" s="1068">
        <f>'OR13-分公司财务管理'!BL36</f>
        <v>0</v>
      </c>
      <c r="M67" s="1068">
        <f>'OR13-分公司财务管理'!BR36</f>
        <v>0</v>
      </c>
      <c r="N67" s="1068">
        <f>'OR13-分公司财务管理'!BX36</f>
        <v>0</v>
      </c>
      <c r="O67" s="1068" t="s">
        <v>2191</v>
      </c>
    </row>
    <row r="68" spans="1:15" ht="14.25">
      <c r="A68" s="1432"/>
      <c r="B68" s="1436"/>
      <c r="C68" s="1114">
        <f t="shared" si="4"/>
        <v>2.2222222222222223E-2</v>
      </c>
      <c r="D68" s="1085">
        <v>10</v>
      </c>
      <c r="E68" s="1089">
        <f>'OR13-分公司财务管理'!W35</f>
        <v>10</v>
      </c>
      <c r="F68" s="1089">
        <f>'OR13-分公司财务管理'!AC35</f>
        <v>9.5</v>
      </c>
      <c r="G68" s="1089">
        <f>'OR13-分公司财务管理'!AI35</f>
        <v>10</v>
      </c>
      <c r="H68" s="1089">
        <f>'OR13-分公司财务管理'!AO35</f>
        <v>10</v>
      </c>
      <c r="I68" s="1089">
        <f>'OR13-分公司财务管理'!AU35</f>
        <v>10</v>
      </c>
      <c r="J68" s="1089">
        <f>'OR13-分公司财务管理'!BA35</f>
        <v>10</v>
      </c>
      <c r="K68" s="1089">
        <f>'OR13-分公司财务管理'!BG35</f>
        <v>10</v>
      </c>
      <c r="L68" s="1089">
        <f>'OR13-分公司财务管理'!BM35</f>
        <v>10</v>
      </c>
      <c r="M68" s="1089">
        <f>'OR13-分公司财务管理'!BS35</f>
        <v>10</v>
      </c>
      <c r="N68" s="1089">
        <f>'OR13-分公司财务管理'!BY35</f>
        <v>10</v>
      </c>
      <c r="O68" s="1068" t="s">
        <v>2186</v>
      </c>
    </row>
    <row r="69" spans="1:15" ht="14.25">
      <c r="A69" s="1432"/>
      <c r="B69" s="1087" t="s">
        <v>2173</v>
      </c>
      <c r="C69" s="1088">
        <f t="shared" si="4"/>
        <v>2.2222222222222223E-2</v>
      </c>
      <c r="D69" s="1085">
        <v>3</v>
      </c>
      <c r="E69" s="1089">
        <f>'OR13-分公司财务管理'!W37</f>
        <v>3</v>
      </c>
      <c r="F69" s="1089">
        <f>'OR13-分公司财务管理'!AC37</f>
        <v>3</v>
      </c>
      <c r="G69" s="1089">
        <f>'OR13-分公司财务管理'!AI37</f>
        <v>3</v>
      </c>
      <c r="H69" s="1089">
        <f>'OR13-分公司财务管理'!AO37</f>
        <v>3</v>
      </c>
      <c r="I69" s="1089">
        <f>'OR13-分公司财务管理'!AU37</f>
        <v>3</v>
      </c>
      <c r="J69" s="1089">
        <f>'OR13-分公司财务管理'!BA37</f>
        <v>3</v>
      </c>
      <c r="K69" s="1089">
        <f>'OR13-分公司财务管理'!BG37</f>
        <v>3</v>
      </c>
      <c r="L69" s="1089">
        <f>'OR13-分公司财务管理'!BM37</f>
        <v>3</v>
      </c>
      <c r="M69" s="1089">
        <f>'OR13-分公司财务管理'!BS37</f>
        <v>3</v>
      </c>
      <c r="N69" s="1089">
        <f>'OR13-分公司财务管理'!BY37</f>
        <v>3</v>
      </c>
      <c r="O69" s="1068" t="s">
        <v>2186</v>
      </c>
    </row>
    <row r="70" spans="1:15" ht="14.25">
      <c r="A70" s="1432"/>
      <c r="B70" s="1433" t="s">
        <v>2174</v>
      </c>
      <c r="C70" s="1118"/>
      <c r="D70" s="1085"/>
      <c r="E70" s="1068">
        <f>'OR13-分公司财务管理'!V39</f>
        <v>0</v>
      </c>
      <c r="F70" s="1068">
        <f>'OR13-分公司财务管理'!AB39</f>
        <v>0</v>
      </c>
      <c r="G70" s="1068">
        <f>'OR13-分公司财务管理'!AH39</f>
        <v>0</v>
      </c>
      <c r="H70" s="1068">
        <f>'OR13-分公司财务管理'!AN39</f>
        <v>0</v>
      </c>
      <c r="I70" s="1068">
        <f>'OR13-分公司财务管理'!AT39</f>
        <v>0</v>
      </c>
      <c r="J70" s="1068">
        <f>'OR13-分公司财务管理'!AZ39</f>
        <v>1</v>
      </c>
      <c r="K70" s="1068">
        <f>'OR13-分公司财务管理'!BF39</f>
        <v>0</v>
      </c>
      <c r="L70" s="1068">
        <f>'OR13-分公司财务管理'!BL39</f>
        <v>1</v>
      </c>
      <c r="M70" s="1068">
        <f>'OR13-分公司财务管理'!BR39</f>
        <v>1</v>
      </c>
      <c r="N70" s="1068">
        <f>'OR13-分公司财务管理'!BX9</f>
        <v>1</v>
      </c>
      <c r="O70" s="1068" t="s">
        <v>2191</v>
      </c>
    </row>
    <row r="71" spans="1:15" ht="14.25">
      <c r="A71" s="1432"/>
      <c r="B71" s="1434"/>
      <c r="C71" s="1114">
        <f t="shared" si="4"/>
        <v>2.2222222222222223E-2</v>
      </c>
      <c r="D71" s="1085">
        <v>12</v>
      </c>
      <c r="E71" s="1089">
        <f>'OR13-分公司财务管理'!W38</f>
        <v>12</v>
      </c>
      <c r="F71" s="1089">
        <f>'OR13-分公司财务管理'!AC38</f>
        <v>12</v>
      </c>
      <c r="G71" s="1089">
        <f>'OR13-分公司财务管理'!AI38</f>
        <v>12</v>
      </c>
      <c r="H71" s="1089">
        <f>'OR13-分公司财务管理'!AO38</f>
        <v>12</v>
      </c>
      <c r="I71" s="1089">
        <f>'OR13-分公司财务管理'!AU38</f>
        <v>12</v>
      </c>
      <c r="J71" s="1089">
        <f>'OR13-分公司财务管理'!BA38</f>
        <v>11.5</v>
      </c>
      <c r="K71" s="1089">
        <f>'OR13-分公司财务管理'!BG38</f>
        <v>12</v>
      </c>
      <c r="L71" s="1089">
        <f>'OR13-分公司财务管理'!BM38</f>
        <v>11.5</v>
      </c>
      <c r="M71" s="1089">
        <f>'OR13-分公司财务管理'!BS38</f>
        <v>11.5</v>
      </c>
      <c r="N71" s="1089">
        <f>'OR13-分公司财务管理'!BY38</f>
        <v>11.5</v>
      </c>
      <c r="O71" s="1068" t="s">
        <v>2186</v>
      </c>
    </row>
    <row r="72" spans="1:15" ht="14.25">
      <c r="A72" s="1432"/>
      <c r="B72" s="1087" t="s">
        <v>2175</v>
      </c>
      <c r="C72" s="1088">
        <f t="shared" si="4"/>
        <v>2.2222222222222223E-2</v>
      </c>
      <c r="D72" s="1085">
        <v>2</v>
      </c>
      <c r="E72" s="1089">
        <f>'OR13-分公司财务管理'!W40</f>
        <v>0</v>
      </c>
      <c r="F72" s="1089">
        <f>'OR13-分公司财务管理'!AC40</f>
        <v>0</v>
      </c>
      <c r="G72" s="1089">
        <f>'OR13-分公司财务管理'!AI40</f>
        <v>2</v>
      </c>
      <c r="H72" s="1089">
        <f>'OR13-分公司财务管理'!AO40</f>
        <v>0</v>
      </c>
      <c r="I72" s="1089">
        <f>'OR13-分公司财务管理'!AU40</f>
        <v>2</v>
      </c>
      <c r="J72" s="1089">
        <f>'OR13-分公司财务管理'!BA40</f>
        <v>2</v>
      </c>
      <c r="K72" s="1089">
        <f>'OR13-分公司财务管理'!BG40</f>
        <v>2</v>
      </c>
      <c r="L72" s="1089">
        <f>'OR13-分公司财务管理'!BM40</f>
        <v>2</v>
      </c>
      <c r="M72" s="1089">
        <f>'OR13-分公司财务管理'!BS40</f>
        <v>2</v>
      </c>
      <c r="N72" s="1089">
        <f>'OR13-分公司财务管理'!BY40</f>
        <v>2</v>
      </c>
      <c r="O72" s="1068" t="s">
        <v>2186</v>
      </c>
    </row>
    <row r="73" spans="1:15" ht="14.25">
      <c r="A73" s="1432"/>
      <c r="B73" s="1087" t="s">
        <v>1446</v>
      </c>
      <c r="C73" s="1088">
        <f t="shared" si="4"/>
        <v>2.2222222222222223E-2</v>
      </c>
      <c r="D73" s="1085">
        <v>2</v>
      </c>
      <c r="E73" s="1089">
        <f>'OR13-分公司财务管理'!W43</f>
        <v>2</v>
      </c>
      <c r="F73" s="1089">
        <f>'OR13-分公司财务管理'!AC43</f>
        <v>2</v>
      </c>
      <c r="G73" s="1089">
        <f>'OR13-分公司财务管理'!AI43</f>
        <v>2</v>
      </c>
      <c r="H73" s="1089">
        <f>'OR13-分公司财务管理'!AO43</f>
        <v>2</v>
      </c>
      <c r="I73" s="1089">
        <f>'OR13-分公司财务管理'!AU43</f>
        <v>2</v>
      </c>
      <c r="J73" s="1089">
        <f>'OR13-分公司财务管理'!BA43</f>
        <v>2</v>
      </c>
      <c r="K73" s="1089">
        <f>'OR13-分公司财务管理'!BG43</f>
        <v>2</v>
      </c>
      <c r="L73" s="1089">
        <f>'OR13-分公司财务管理'!BM43</f>
        <v>2</v>
      </c>
      <c r="M73" s="1089">
        <f>'OR13-分公司财务管理'!BS43</f>
        <v>2</v>
      </c>
      <c r="N73" s="1089">
        <f>'OR13-分公司财务管理'!BY43</f>
        <v>2</v>
      </c>
      <c r="O73" s="1068" t="s">
        <v>2186</v>
      </c>
    </row>
    <row r="74" spans="1:15" ht="14.25">
      <c r="A74" s="1432"/>
      <c r="B74" s="1433" t="s">
        <v>2177</v>
      </c>
      <c r="C74" s="1145"/>
      <c r="D74" s="1085"/>
      <c r="E74" s="1068">
        <f>'OR13-分公司财务管理'!V46</f>
        <v>0</v>
      </c>
      <c r="F74" s="1068">
        <f>'OR13-分公司财务管理'!AB46</f>
        <v>0</v>
      </c>
      <c r="G74" s="1068">
        <f>'OR13-分公司财务管理'!AH46</f>
        <v>0</v>
      </c>
      <c r="H74" s="1068">
        <f>'OR13-分公司财务管理'!AN46</f>
        <v>0</v>
      </c>
      <c r="I74" s="1068">
        <f>'OR13-分公司财务管理'!AT46</f>
        <v>0</v>
      </c>
      <c r="J74" s="1068">
        <f>'OR13-分公司财务管理'!AZ46</f>
        <v>0</v>
      </c>
      <c r="K74" s="1068">
        <f>'OR13-分公司财务管理'!BF46</f>
        <v>0</v>
      </c>
      <c r="L74" s="1068">
        <f>'OR13-分公司财务管理'!BL46</f>
        <v>0</v>
      </c>
      <c r="M74" s="1068">
        <f>'OR13-分公司财务管理'!BR46</f>
        <v>0</v>
      </c>
      <c r="N74" s="1068">
        <f>'OR13-分公司财务管理'!BX46</f>
        <v>0</v>
      </c>
      <c r="O74" s="1068" t="s">
        <v>2191</v>
      </c>
    </row>
    <row r="75" spans="1:15" ht="14.25">
      <c r="A75" s="1432"/>
      <c r="B75" s="1434"/>
      <c r="C75" s="1114">
        <f t="shared" si="4"/>
        <v>2.2222222222222223E-2</v>
      </c>
      <c r="D75" s="1085">
        <v>6</v>
      </c>
      <c r="E75" s="1068">
        <v>6</v>
      </c>
      <c r="F75" s="1068">
        <v>6</v>
      </c>
      <c r="G75" s="1068">
        <v>6</v>
      </c>
      <c r="H75" s="1068">
        <v>6</v>
      </c>
      <c r="I75" s="1068">
        <v>6</v>
      </c>
      <c r="J75" s="1068">
        <v>6</v>
      </c>
      <c r="K75" s="1068">
        <v>6</v>
      </c>
      <c r="L75" s="1068">
        <v>6</v>
      </c>
      <c r="M75" s="1068">
        <v>6</v>
      </c>
      <c r="N75" s="1068">
        <v>6</v>
      </c>
      <c r="O75" s="1068" t="s">
        <v>2186</v>
      </c>
    </row>
    <row r="76" spans="1:15" ht="14.25">
      <c r="A76" s="1432"/>
      <c r="B76" s="1433" t="s">
        <v>2176</v>
      </c>
      <c r="C76" s="406"/>
      <c r="D76" s="1085"/>
      <c r="E76" s="1068">
        <f>'OR13-分公司财务管理'!V48</f>
        <v>0</v>
      </c>
      <c r="F76" s="1068">
        <f>'OR13-分公司财务管理'!AB48</f>
        <v>0</v>
      </c>
      <c r="G76" s="1068">
        <f>'OR13-分公司财务管理'!AH48</f>
        <v>0</v>
      </c>
      <c r="H76" s="1068">
        <f>'OR13-分公司财务管理'!AN48</f>
        <v>0</v>
      </c>
      <c r="I76" s="1068">
        <f>'OR13-分公司财务管理'!AT48</f>
        <v>0</v>
      </c>
      <c r="J76" s="1068">
        <f>'OR13-分公司财务管理'!AZ48</f>
        <v>0</v>
      </c>
      <c r="K76" s="1068">
        <f>'OR13-分公司财务管理'!BF48</f>
        <v>0</v>
      </c>
      <c r="L76" s="1068">
        <f>'OR13-分公司财务管理'!BL48</f>
        <v>0</v>
      </c>
      <c r="M76" s="1068">
        <f>'OR13-分公司财务管理'!BR48</f>
        <v>0</v>
      </c>
      <c r="N76" s="1068">
        <f>'OR13-分公司财务管理'!BX48</f>
        <v>0</v>
      </c>
      <c r="O76" s="1068" t="s">
        <v>2191</v>
      </c>
    </row>
    <row r="77" spans="1:15" ht="14.25">
      <c r="A77" s="1432"/>
      <c r="B77" s="1434"/>
      <c r="C77" s="1114">
        <f t="shared" si="4"/>
        <v>2.2222222222222223E-2</v>
      </c>
      <c r="D77" s="1085">
        <v>5</v>
      </c>
      <c r="E77" s="1089">
        <f>'OR13-分公司财务管理'!W48</f>
        <v>5</v>
      </c>
      <c r="F77" s="1089">
        <f>'OR13-分公司财务管理'!AC48</f>
        <v>5</v>
      </c>
      <c r="G77" s="1089">
        <f>'OR13-分公司财务管理'!AI48</f>
        <v>5</v>
      </c>
      <c r="H77" s="1089">
        <f>'OR13-分公司财务管理'!AO48</f>
        <v>5</v>
      </c>
      <c r="I77" s="1089">
        <f>'OR13-分公司财务管理'!AU48</f>
        <v>5</v>
      </c>
      <c r="J77" s="1089">
        <f>'OR13-分公司财务管理'!BA48</f>
        <v>5</v>
      </c>
      <c r="K77" s="1089">
        <f>'OR13-分公司财务管理'!BG48</f>
        <v>5</v>
      </c>
      <c r="L77" s="1089">
        <f>'OR13-分公司财务管理'!BM48</f>
        <v>5</v>
      </c>
      <c r="M77" s="1089">
        <f>'OR13-分公司财务管理'!BS48</f>
        <v>5</v>
      </c>
      <c r="N77" s="1089">
        <f>'OR13-分公司财务管理'!BY48</f>
        <v>5</v>
      </c>
      <c r="O77" s="1068" t="s">
        <v>2186</v>
      </c>
    </row>
    <row r="78" spans="1:15" ht="14.25">
      <c r="A78" s="1432"/>
      <c r="B78" s="1087" t="s">
        <v>2178</v>
      </c>
      <c r="C78" s="1088">
        <f t="shared" si="4"/>
        <v>2.2222222222222223E-2</v>
      </c>
      <c r="D78" s="1085">
        <v>0</v>
      </c>
      <c r="E78" s="1090">
        <v>0</v>
      </c>
      <c r="F78" s="1090">
        <v>0</v>
      </c>
      <c r="G78" s="1090">
        <v>0</v>
      </c>
      <c r="H78" s="1090">
        <v>0</v>
      </c>
      <c r="I78" s="1090">
        <v>0</v>
      </c>
      <c r="J78" s="1090">
        <v>0</v>
      </c>
      <c r="K78" s="1090">
        <v>0</v>
      </c>
      <c r="L78" s="1090">
        <v>0</v>
      </c>
      <c r="M78" s="1090">
        <v>0</v>
      </c>
      <c r="N78" s="1090">
        <v>0</v>
      </c>
      <c r="O78" s="1068" t="s">
        <v>2193</v>
      </c>
    </row>
    <row r="79" spans="1:15" ht="14.25">
      <c r="A79" s="1432"/>
      <c r="B79" s="1087" t="s">
        <v>2162</v>
      </c>
      <c r="C79" s="1088">
        <f t="shared" si="4"/>
        <v>2.2222222222222223E-2</v>
      </c>
      <c r="D79" s="1085">
        <v>3</v>
      </c>
      <c r="E79" s="1089">
        <f>'OR13-分公司财务管理'!W50</f>
        <v>3</v>
      </c>
      <c r="F79" s="1089">
        <f>'OR13-分公司财务管理'!AC50</f>
        <v>3</v>
      </c>
      <c r="G79" s="1089">
        <f>'OR13-分公司财务管理'!AI50</f>
        <v>3</v>
      </c>
      <c r="H79" s="1089">
        <f>'OR13-分公司财务管理'!AO50</f>
        <v>3</v>
      </c>
      <c r="I79" s="1089">
        <f>'OR13-分公司财务管理'!AU50</f>
        <v>3</v>
      </c>
      <c r="J79" s="1089">
        <f>'OR13-分公司财务管理'!BA50</f>
        <v>3</v>
      </c>
      <c r="K79" s="1089">
        <f>'OR13-分公司财务管理'!BG50</f>
        <v>3</v>
      </c>
      <c r="L79" s="1089">
        <f>'OR13-分公司财务管理'!BM50</f>
        <v>3</v>
      </c>
      <c r="M79" s="1089">
        <f>'OR13-分公司财务管理'!BS50</f>
        <v>3</v>
      </c>
      <c r="N79" s="1089">
        <f>'OR13-分公司财务管理'!BY50</f>
        <v>3</v>
      </c>
      <c r="O79" s="1068" t="s">
        <v>2186</v>
      </c>
    </row>
    <row r="80" spans="1:15" ht="14.25">
      <c r="A80" s="1432"/>
      <c r="B80" s="1087" t="s">
        <v>2163</v>
      </c>
      <c r="C80" s="1088">
        <f t="shared" si="4"/>
        <v>2.2222222222222223E-2</v>
      </c>
      <c r="D80" s="1085">
        <v>2</v>
      </c>
      <c r="E80" s="1089">
        <f>'OR13-分公司财务管理'!W52</f>
        <v>2</v>
      </c>
      <c r="F80" s="1089">
        <f>'OR13-分公司财务管理'!AC52</f>
        <v>2</v>
      </c>
      <c r="G80" s="1089">
        <f>'OR13-分公司财务管理'!AI52</f>
        <v>2</v>
      </c>
      <c r="H80" s="1089">
        <f>'OR13-分公司财务管理'!AO52</f>
        <v>2</v>
      </c>
      <c r="I80" s="1089">
        <f>'OR13-分公司财务管理'!AU52</f>
        <v>2</v>
      </c>
      <c r="J80" s="1089">
        <f>'OR13-分公司财务管理'!BA52</f>
        <v>2</v>
      </c>
      <c r="K80" s="1089">
        <f>'OR13-分公司财务管理'!BG52</f>
        <v>2</v>
      </c>
      <c r="L80" s="1089">
        <f>'OR13-分公司财务管理'!BM52</f>
        <v>2</v>
      </c>
      <c r="M80" s="1089">
        <f>'OR13-分公司财务管理'!BS52</f>
        <v>2</v>
      </c>
      <c r="N80" s="1089">
        <f>'OR13-分公司财务管理'!BY52</f>
        <v>2</v>
      </c>
      <c r="O80" s="1068" t="s">
        <v>2186</v>
      </c>
    </row>
    <row r="81" spans="1:17" ht="14.25">
      <c r="A81" s="1432"/>
      <c r="B81" s="1087" t="s">
        <v>2179</v>
      </c>
      <c r="C81" s="1088">
        <f t="shared" si="4"/>
        <v>2.2222222222222223E-2</v>
      </c>
      <c r="D81" s="1085">
        <v>10</v>
      </c>
      <c r="E81" s="1068">
        <f>MAX(10-2*(E61+E67+E70+E76+E74),0)</f>
        <v>10</v>
      </c>
      <c r="F81" s="1068">
        <f t="shared" ref="F81:N81" si="5">MAX(10-2*(F61+F67+F70+F76+F74),0)</f>
        <v>8</v>
      </c>
      <c r="G81" s="1068">
        <f t="shared" si="5"/>
        <v>10</v>
      </c>
      <c r="H81" s="1068">
        <f t="shared" si="5"/>
        <v>10</v>
      </c>
      <c r="I81" s="1068">
        <f t="shared" si="5"/>
        <v>10</v>
      </c>
      <c r="J81" s="1068">
        <f t="shared" si="5"/>
        <v>8</v>
      </c>
      <c r="K81" s="1068">
        <f t="shared" si="5"/>
        <v>10</v>
      </c>
      <c r="L81" s="1068">
        <f t="shared" si="5"/>
        <v>8</v>
      </c>
      <c r="M81" s="1068">
        <f t="shared" si="5"/>
        <v>8</v>
      </c>
      <c r="N81" s="1068">
        <f t="shared" si="5"/>
        <v>8</v>
      </c>
      <c r="O81" s="1068" t="s">
        <v>2192</v>
      </c>
    </row>
    <row r="82" spans="1:17" s="757" customFormat="1" ht="14.25" customHeight="1">
      <c r="A82" s="1416" t="s">
        <v>2392</v>
      </c>
      <c r="B82" s="1417" t="s">
        <v>2079</v>
      </c>
      <c r="C82" s="1146"/>
      <c r="D82" s="1096"/>
      <c r="E82" s="1079">
        <v>0</v>
      </c>
      <c r="F82" s="1079">
        <v>0</v>
      </c>
      <c r="G82" s="1079">
        <v>2</v>
      </c>
      <c r="H82" s="1079">
        <v>0</v>
      </c>
      <c r="I82" s="1079">
        <v>0</v>
      </c>
      <c r="J82" s="1079">
        <v>0</v>
      </c>
      <c r="K82" s="1079">
        <v>0</v>
      </c>
      <c r="L82" s="1079">
        <v>0</v>
      </c>
      <c r="M82" s="1079">
        <v>2</v>
      </c>
      <c r="N82" s="1079">
        <v>0</v>
      </c>
      <c r="O82" s="1098" t="s">
        <v>2209</v>
      </c>
      <c r="P82" s="1061"/>
      <c r="Q82" s="1061"/>
    </row>
    <row r="83" spans="1:17" s="757" customFormat="1" ht="14.25">
      <c r="A83" s="1416"/>
      <c r="B83" s="1417"/>
      <c r="C83" s="1113">
        <f>30%*(1/18)</f>
        <v>1.6666666666666666E-2</v>
      </c>
      <c r="D83" s="1096">
        <v>8</v>
      </c>
      <c r="E83" s="1097">
        <f>MAX(8-2*E82,0)</f>
        <v>8</v>
      </c>
      <c r="F83" s="1097">
        <f t="shared" ref="F83:N83" si="6">MAX(8-2*F82,0)</f>
        <v>8</v>
      </c>
      <c r="G83" s="1097">
        <f t="shared" si="6"/>
        <v>4</v>
      </c>
      <c r="H83" s="1097">
        <f t="shared" si="6"/>
        <v>8</v>
      </c>
      <c r="I83" s="1097">
        <f t="shared" si="6"/>
        <v>8</v>
      </c>
      <c r="J83" s="1097">
        <f t="shared" si="6"/>
        <v>8</v>
      </c>
      <c r="K83" s="1097">
        <f t="shared" si="6"/>
        <v>8</v>
      </c>
      <c r="L83" s="1097">
        <f t="shared" si="6"/>
        <v>8</v>
      </c>
      <c r="M83" s="1097">
        <f t="shared" si="6"/>
        <v>4</v>
      </c>
      <c r="N83" s="1097">
        <f t="shared" si="6"/>
        <v>8</v>
      </c>
      <c r="O83" s="1097" t="s">
        <v>2192</v>
      </c>
      <c r="P83" s="1061"/>
      <c r="Q83" s="1061"/>
    </row>
    <row r="84" spans="1:17" s="757" customFormat="1" ht="14.25" customHeight="1">
      <c r="A84" s="1416"/>
      <c r="B84" s="1417" t="s">
        <v>2210</v>
      </c>
      <c r="C84" s="1146"/>
      <c r="D84" s="1096"/>
      <c r="E84" s="1079">
        <v>0</v>
      </c>
      <c r="F84" s="1079">
        <v>0</v>
      </c>
      <c r="G84" s="1079">
        <v>1</v>
      </c>
      <c r="H84" s="1079">
        <v>1</v>
      </c>
      <c r="I84" s="1079">
        <v>3</v>
      </c>
      <c r="J84" s="1079">
        <v>1</v>
      </c>
      <c r="K84" s="1079">
        <v>0</v>
      </c>
      <c r="L84" s="1079">
        <v>1</v>
      </c>
      <c r="M84" s="1079">
        <v>0</v>
      </c>
      <c r="N84" s="1079">
        <v>0</v>
      </c>
      <c r="O84" s="1097" t="s">
        <v>2191</v>
      </c>
      <c r="P84" s="1061"/>
      <c r="Q84" s="1061"/>
    </row>
    <row r="85" spans="1:17" s="757" customFormat="1" ht="14.25">
      <c r="A85" s="1416"/>
      <c r="B85" s="1417"/>
      <c r="C85" s="1099">
        <f>30%*(1/18)</f>
        <v>1.6666666666666666E-2</v>
      </c>
      <c r="D85" s="1096">
        <v>4</v>
      </c>
      <c r="E85" s="1097">
        <f>MAX(4-2*E84,0)</f>
        <v>4</v>
      </c>
      <c r="F85" s="1097">
        <f t="shared" ref="F85:N85" si="7">MAX(4-2*F84,0)</f>
        <v>4</v>
      </c>
      <c r="G85" s="1097">
        <f t="shared" si="7"/>
        <v>2</v>
      </c>
      <c r="H85" s="1097">
        <f t="shared" si="7"/>
        <v>2</v>
      </c>
      <c r="I85" s="1097">
        <f t="shared" si="7"/>
        <v>0</v>
      </c>
      <c r="J85" s="1097">
        <f t="shared" si="7"/>
        <v>2</v>
      </c>
      <c r="K85" s="1097">
        <f t="shared" si="7"/>
        <v>4</v>
      </c>
      <c r="L85" s="1097">
        <f t="shared" si="7"/>
        <v>2</v>
      </c>
      <c r="M85" s="1097">
        <f t="shared" si="7"/>
        <v>4</v>
      </c>
      <c r="N85" s="1097">
        <f t="shared" si="7"/>
        <v>4</v>
      </c>
      <c r="O85" s="1097" t="s">
        <v>2186</v>
      </c>
      <c r="P85" s="1061"/>
      <c r="Q85" s="1061"/>
    </row>
    <row r="86" spans="1:17" s="757" customFormat="1" ht="14.25">
      <c r="A86" s="1416"/>
      <c r="B86" s="1417" t="s">
        <v>2211</v>
      </c>
      <c r="C86" s="1147"/>
      <c r="D86" s="1096"/>
      <c r="E86" s="1079">
        <v>0</v>
      </c>
      <c r="F86" s="1079">
        <v>0</v>
      </c>
      <c r="G86" s="1079">
        <v>0</v>
      </c>
      <c r="H86" s="1079">
        <v>0</v>
      </c>
      <c r="I86" s="1079">
        <v>0</v>
      </c>
      <c r="J86" s="1079">
        <v>0</v>
      </c>
      <c r="K86" s="1079">
        <v>0</v>
      </c>
      <c r="L86" s="1079">
        <v>0</v>
      </c>
      <c r="M86" s="1079">
        <v>0</v>
      </c>
      <c r="N86" s="1079">
        <v>0</v>
      </c>
      <c r="O86" s="1097" t="s">
        <v>2191</v>
      </c>
      <c r="P86" s="1061"/>
      <c r="Q86" s="1061"/>
    </row>
    <row r="87" spans="1:17" s="757" customFormat="1" ht="14.25">
      <c r="A87" s="1416"/>
      <c r="B87" s="1417"/>
      <c r="C87" s="1113">
        <f>30%*(1/18)</f>
        <v>1.6666666666666666E-2</v>
      </c>
      <c r="D87" s="1096">
        <v>4</v>
      </c>
      <c r="E87" s="1097">
        <f>MAX(4-2*E86,0)</f>
        <v>4</v>
      </c>
      <c r="F87" s="1097">
        <f t="shared" ref="F87" si="8">MAX(4-2*F86,0)</f>
        <v>4</v>
      </c>
      <c r="G87" s="1097">
        <f t="shared" ref="G87" si="9">MAX(4-2*G86,0)</f>
        <v>4</v>
      </c>
      <c r="H87" s="1097">
        <f t="shared" ref="H87" si="10">MAX(4-2*H86,0)</f>
        <v>4</v>
      </c>
      <c r="I87" s="1097">
        <f t="shared" ref="I87" si="11">MAX(4-2*I86,0)</f>
        <v>4</v>
      </c>
      <c r="J87" s="1097">
        <f t="shared" ref="J87" si="12">MAX(4-2*J86,0)</f>
        <v>4</v>
      </c>
      <c r="K87" s="1097">
        <f t="shared" ref="K87" si="13">MAX(4-2*K86,0)</f>
        <v>4</v>
      </c>
      <c r="L87" s="1097">
        <f t="shared" ref="L87" si="14">MAX(4-2*L86,0)</f>
        <v>4</v>
      </c>
      <c r="M87" s="1097">
        <f t="shared" ref="M87" si="15">MAX(4-2*M86,0)</f>
        <v>4</v>
      </c>
      <c r="N87" s="1097">
        <f t="shared" ref="N87" si="16">MAX(4-2*N86,0)</f>
        <v>4</v>
      </c>
      <c r="O87" s="1097" t="s">
        <v>2186</v>
      </c>
      <c r="P87" s="1061"/>
      <c r="Q87" s="1061"/>
    </row>
    <row r="88" spans="1:17" s="757" customFormat="1" ht="14.25">
      <c r="A88" s="1416"/>
      <c r="B88" s="1417" t="s">
        <v>2027</v>
      </c>
      <c r="C88" s="1148"/>
      <c r="D88" s="1096"/>
      <c r="E88" s="1079">
        <v>0</v>
      </c>
      <c r="F88" s="1079">
        <v>0</v>
      </c>
      <c r="G88" s="1079">
        <v>0</v>
      </c>
      <c r="H88" s="1079">
        <v>0</v>
      </c>
      <c r="I88" s="1079">
        <v>0</v>
      </c>
      <c r="J88" s="1079">
        <v>1</v>
      </c>
      <c r="K88" s="1079">
        <v>0</v>
      </c>
      <c r="L88" s="1079">
        <v>0</v>
      </c>
      <c r="M88" s="1079">
        <v>0</v>
      </c>
      <c r="N88" s="1079">
        <v>0</v>
      </c>
      <c r="O88" s="1097" t="s">
        <v>2191</v>
      </c>
      <c r="P88" s="1061"/>
      <c r="Q88" s="1061"/>
    </row>
    <row r="89" spans="1:17" s="757" customFormat="1" ht="14.25">
      <c r="A89" s="1416"/>
      <c r="B89" s="1417" t="s">
        <v>565</v>
      </c>
      <c r="C89" s="1113">
        <f t="shared" ref="C89:C95" si="17">30%*(1/18)</f>
        <v>1.6666666666666666E-2</v>
      </c>
      <c r="D89" s="1096">
        <v>5</v>
      </c>
      <c r="E89" s="1097">
        <f>MAX(5-2*E88,0)</f>
        <v>5</v>
      </c>
      <c r="F89" s="1097">
        <f t="shared" ref="F89:N89" si="18">MAX(5-2*F88,0)</f>
        <v>5</v>
      </c>
      <c r="G89" s="1097">
        <f t="shared" si="18"/>
        <v>5</v>
      </c>
      <c r="H89" s="1097">
        <f t="shared" si="18"/>
        <v>5</v>
      </c>
      <c r="I89" s="1097">
        <f t="shared" si="18"/>
        <v>5</v>
      </c>
      <c r="J89" s="1097">
        <f t="shared" si="18"/>
        <v>3</v>
      </c>
      <c r="K89" s="1097">
        <f t="shared" si="18"/>
        <v>5</v>
      </c>
      <c r="L89" s="1097">
        <f t="shared" si="18"/>
        <v>5</v>
      </c>
      <c r="M89" s="1097">
        <f t="shared" si="18"/>
        <v>5</v>
      </c>
      <c r="N89" s="1097">
        <f t="shared" si="18"/>
        <v>5</v>
      </c>
      <c r="O89" s="1097" t="s">
        <v>2186</v>
      </c>
      <c r="P89" s="1061"/>
      <c r="Q89" s="1061"/>
    </row>
    <row r="90" spans="1:17" s="757" customFormat="1" ht="14.25">
      <c r="A90" s="1416"/>
      <c r="B90" s="1437" t="s">
        <v>2213</v>
      </c>
      <c r="C90" s="1147"/>
      <c r="D90" s="1096"/>
      <c r="E90" s="1079">
        <v>0</v>
      </c>
      <c r="F90" s="1079">
        <v>0</v>
      </c>
      <c r="G90" s="1079">
        <v>0</v>
      </c>
      <c r="H90" s="1079">
        <v>0</v>
      </c>
      <c r="I90" s="1079">
        <v>0</v>
      </c>
      <c r="J90" s="1079">
        <v>0</v>
      </c>
      <c r="K90" s="1079">
        <v>0</v>
      </c>
      <c r="L90" s="1079">
        <v>0</v>
      </c>
      <c r="M90" s="1079">
        <v>0</v>
      </c>
      <c r="N90" s="1079">
        <v>0</v>
      </c>
      <c r="O90" s="1097" t="s">
        <v>2191</v>
      </c>
      <c r="P90" s="1061"/>
      <c r="Q90" s="1061"/>
    </row>
    <row r="91" spans="1:17" s="757" customFormat="1" ht="14.25">
      <c r="A91" s="1416"/>
      <c r="B91" s="1438"/>
      <c r="C91" s="1113">
        <f t="shared" si="17"/>
        <v>1.6666666666666666E-2</v>
      </c>
      <c r="D91" s="1096">
        <v>5</v>
      </c>
      <c r="E91" s="1097">
        <f>MAX(5-2*E90,0)</f>
        <v>5</v>
      </c>
      <c r="F91" s="1097">
        <f t="shared" ref="F91" si="19">MAX(5-2*F90,0)</f>
        <v>5</v>
      </c>
      <c r="G91" s="1097">
        <f t="shared" ref="G91" si="20">MAX(5-2*G90,0)</f>
        <v>5</v>
      </c>
      <c r="H91" s="1097">
        <f t="shared" ref="H91" si="21">MAX(5-2*H90,0)</f>
        <v>5</v>
      </c>
      <c r="I91" s="1097">
        <f t="shared" ref="I91" si="22">MAX(5-2*I90,0)</f>
        <v>5</v>
      </c>
      <c r="J91" s="1097">
        <f t="shared" ref="J91" si="23">MAX(5-2*J90,0)</f>
        <v>5</v>
      </c>
      <c r="K91" s="1097">
        <f t="shared" ref="K91" si="24">MAX(5-2*K90,0)</f>
        <v>5</v>
      </c>
      <c r="L91" s="1097">
        <f t="shared" ref="L91" si="25">MAX(5-2*L90,0)</f>
        <v>5</v>
      </c>
      <c r="M91" s="1097">
        <f t="shared" ref="M91" si="26">MAX(5-2*M90,0)</f>
        <v>5</v>
      </c>
      <c r="N91" s="1097">
        <f t="shared" ref="N91" si="27">MAX(5-2*N90,0)</f>
        <v>5</v>
      </c>
      <c r="O91" s="1097" t="s">
        <v>2186</v>
      </c>
      <c r="P91" s="1061"/>
      <c r="Q91" s="1061"/>
    </row>
    <row r="92" spans="1:17" s="757" customFormat="1" ht="14.25">
      <c r="A92" s="1416"/>
      <c r="B92" s="1417" t="s">
        <v>2214</v>
      </c>
      <c r="C92" s="1147"/>
      <c r="D92" s="1096"/>
      <c r="E92" s="1079">
        <v>0</v>
      </c>
      <c r="F92" s="1079">
        <v>0</v>
      </c>
      <c r="G92" s="1079">
        <v>0</v>
      </c>
      <c r="H92" s="1079">
        <v>0</v>
      </c>
      <c r="I92" s="1079">
        <v>0</v>
      </c>
      <c r="J92" s="1079">
        <v>0</v>
      </c>
      <c r="K92" s="1079">
        <v>0</v>
      </c>
      <c r="L92" s="1079">
        <v>0</v>
      </c>
      <c r="M92" s="1079">
        <v>0</v>
      </c>
      <c r="N92" s="1079">
        <v>0</v>
      </c>
      <c r="O92" s="1097" t="s">
        <v>2191</v>
      </c>
      <c r="P92" s="1061"/>
      <c r="Q92" s="1061"/>
    </row>
    <row r="93" spans="1:17" s="757" customFormat="1" ht="14.25">
      <c r="A93" s="1416"/>
      <c r="B93" s="1417" t="s">
        <v>567</v>
      </c>
      <c r="C93" s="1113">
        <f t="shared" si="17"/>
        <v>1.6666666666666666E-2</v>
      </c>
      <c r="D93" s="1096">
        <v>5</v>
      </c>
      <c r="E93" s="1097">
        <f>MAX(5-2*E92,0)</f>
        <v>5</v>
      </c>
      <c r="F93" s="1097">
        <f t="shared" ref="F93" si="28">MAX(5-2*F92,0)</f>
        <v>5</v>
      </c>
      <c r="G93" s="1097">
        <f t="shared" ref="G93" si="29">MAX(5-2*G92,0)</f>
        <v>5</v>
      </c>
      <c r="H93" s="1097">
        <f t="shared" ref="H93" si="30">MAX(5-2*H92,0)</f>
        <v>5</v>
      </c>
      <c r="I93" s="1097">
        <f t="shared" ref="I93" si="31">MAX(5-2*I92,0)</f>
        <v>5</v>
      </c>
      <c r="J93" s="1097">
        <f t="shared" ref="J93" si="32">MAX(5-2*J92,0)</f>
        <v>5</v>
      </c>
      <c r="K93" s="1097">
        <f t="shared" ref="K93" si="33">MAX(5-2*K92,0)</f>
        <v>5</v>
      </c>
      <c r="L93" s="1097">
        <f t="shared" ref="L93" si="34">MAX(5-2*L92,0)</f>
        <v>5</v>
      </c>
      <c r="M93" s="1097">
        <f t="shared" ref="M93" si="35">MAX(5-2*M92,0)</f>
        <v>5</v>
      </c>
      <c r="N93" s="1097">
        <f t="shared" ref="N93" si="36">MAX(5-2*N92,0)</f>
        <v>5</v>
      </c>
      <c r="O93" s="1097" t="s">
        <v>2186</v>
      </c>
      <c r="P93" s="1061"/>
      <c r="Q93" s="1061"/>
    </row>
    <row r="94" spans="1:17" s="757" customFormat="1" ht="14.25">
      <c r="A94" s="1416"/>
      <c r="B94" s="1437" t="s">
        <v>2216</v>
      </c>
      <c r="C94" s="1147"/>
      <c r="D94" s="1096"/>
      <c r="E94" s="1079">
        <v>0</v>
      </c>
      <c r="F94" s="1079">
        <v>0</v>
      </c>
      <c r="G94" s="1079">
        <v>0</v>
      </c>
      <c r="H94" s="1079">
        <v>0</v>
      </c>
      <c r="I94" s="1079">
        <v>0</v>
      </c>
      <c r="J94" s="1079">
        <v>0</v>
      </c>
      <c r="K94" s="1079">
        <v>0</v>
      </c>
      <c r="L94" s="1079">
        <v>0</v>
      </c>
      <c r="M94" s="1079">
        <v>0</v>
      </c>
      <c r="N94" s="1079">
        <v>0</v>
      </c>
      <c r="O94" s="1097" t="s">
        <v>2191</v>
      </c>
      <c r="P94" s="1061"/>
      <c r="Q94" s="1061"/>
    </row>
    <row r="95" spans="1:17" s="757" customFormat="1" ht="14.25">
      <c r="A95" s="1416"/>
      <c r="B95" s="1438"/>
      <c r="C95" s="1113">
        <f t="shared" si="17"/>
        <v>1.6666666666666666E-2</v>
      </c>
      <c r="D95" s="1096">
        <v>5</v>
      </c>
      <c r="E95" s="1097">
        <f>MAX(5-2*E94,0)</f>
        <v>5</v>
      </c>
      <c r="F95" s="1097">
        <f t="shared" ref="F95" si="37">MAX(5-2*F94,0)</f>
        <v>5</v>
      </c>
      <c r="G95" s="1097">
        <f t="shared" ref="G95" si="38">MAX(5-2*G94,0)</f>
        <v>5</v>
      </c>
      <c r="H95" s="1097">
        <f t="shared" ref="H95" si="39">MAX(5-2*H94,0)</f>
        <v>5</v>
      </c>
      <c r="I95" s="1097">
        <f t="shared" ref="I95" si="40">MAX(5-2*I94,0)</f>
        <v>5</v>
      </c>
      <c r="J95" s="1097">
        <f t="shared" ref="J95" si="41">MAX(5-2*J94,0)</f>
        <v>5</v>
      </c>
      <c r="K95" s="1097">
        <f t="shared" ref="K95" si="42">MAX(5-2*K94,0)</f>
        <v>5</v>
      </c>
      <c r="L95" s="1097">
        <f t="shared" ref="L95" si="43">MAX(5-2*L94,0)</f>
        <v>5</v>
      </c>
      <c r="M95" s="1097">
        <f t="shared" ref="M95" si="44">MAX(5-2*M94,0)</f>
        <v>5</v>
      </c>
      <c r="N95" s="1097">
        <f t="shared" ref="N95" si="45">MAX(5-2*N94,0)</f>
        <v>5</v>
      </c>
      <c r="O95" s="1097" t="s">
        <v>2186</v>
      </c>
      <c r="P95" s="1061"/>
      <c r="Q95" s="1061"/>
    </row>
    <row r="96" spans="1:17" ht="15" customHeight="1">
      <c r="A96" s="1429" t="s">
        <v>2180</v>
      </c>
      <c r="B96" s="1430"/>
      <c r="C96" s="1102"/>
      <c r="D96" s="1103">
        <f t="shared" ref="D96:N96" si="46">SUMPRODUCT($C$2:$C$95,D2:D95)</f>
        <v>9.5999999999999979</v>
      </c>
      <c r="E96" s="1103">
        <f t="shared" si="46"/>
        <v>9.3191919191919173</v>
      </c>
      <c r="F96" s="1103">
        <f t="shared" si="46"/>
        <v>8.8088987217305785</v>
      </c>
      <c r="G96" s="1103">
        <f t="shared" si="46"/>
        <v>8.918966151582044</v>
      </c>
      <c r="H96" s="1103">
        <f t="shared" si="46"/>
        <v>9.211464646464643</v>
      </c>
      <c r="I96" s="1103">
        <f t="shared" si="46"/>
        <v>9.0803418803418783</v>
      </c>
      <c r="J96" s="1103">
        <f t="shared" si="46"/>
        <v>8.8304307116104841</v>
      </c>
      <c r="K96" s="1103">
        <f t="shared" si="46"/>
        <v>9.0720747295968511</v>
      </c>
      <c r="L96" s="1103">
        <f t="shared" si="46"/>
        <v>9.201041666666665</v>
      </c>
      <c r="M96" s="1103">
        <f t="shared" si="46"/>
        <v>9.0865461847389533</v>
      </c>
      <c r="N96" s="1103">
        <f t="shared" si="46"/>
        <v>9.1727124183006516</v>
      </c>
    </row>
    <row r="97" spans="1:14" ht="15">
      <c r="A97" s="1429" t="s">
        <v>2181</v>
      </c>
      <c r="B97" s="1430"/>
      <c r="C97" s="1102"/>
      <c r="D97" s="1102"/>
      <c r="E97" s="1106">
        <f t="shared" ref="E97:N97" si="47">E96/$D$96*100</f>
        <v>97.074915824915834</v>
      </c>
      <c r="F97" s="1106">
        <f t="shared" si="47"/>
        <v>91.759361684693559</v>
      </c>
      <c r="G97" s="1106">
        <f t="shared" si="47"/>
        <v>92.905897412312981</v>
      </c>
      <c r="H97" s="1106">
        <f t="shared" si="47"/>
        <v>95.952756734006712</v>
      </c>
      <c r="I97" s="1106">
        <f t="shared" si="47"/>
        <v>94.586894586894587</v>
      </c>
      <c r="J97" s="1106">
        <f t="shared" si="47"/>
        <v>91.983653245942563</v>
      </c>
      <c r="K97" s="1106">
        <f t="shared" si="47"/>
        <v>94.500778433300553</v>
      </c>
      <c r="L97" s="1106">
        <f t="shared" si="47"/>
        <v>95.844184027777786</v>
      </c>
      <c r="M97" s="1106">
        <f t="shared" si="47"/>
        <v>94.65152275769745</v>
      </c>
      <c r="N97" s="1106">
        <f t="shared" si="47"/>
        <v>95.549087690631808</v>
      </c>
    </row>
    <row r="98" spans="1:14" ht="15" customHeight="1">
      <c r="A98" s="1429" t="s">
        <v>2182</v>
      </c>
      <c r="B98" s="1430"/>
      <c r="C98" s="1104">
        <v>0.1</v>
      </c>
      <c r="D98" s="1105"/>
      <c r="E98" s="1101"/>
      <c r="F98" s="1101"/>
      <c r="G98" s="1101"/>
      <c r="H98" s="1101"/>
      <c r="I98" s="1101"/>
      <c r="J98" s="1101"/>
      <c r="K98" s="1101"/>
      <c r="L98" s="1101"/>
      <c r="M98" s="1101"/>
      <c r="N98" s="1101"/>
    </row>
    <row r="99" spans="1:14" ht="15" customHeight="1">
      <c r="A99" s="1429" t="s">
        <v>2183</v>
      </c>
      <c r="B99" s="1430"/>
      <c r="C99" s="1104">
        <v>0.15</v>
      </c>
      <c r="D99" s="1105"/>
      <c r="E99" s="1101"/>
      <c r="F99" s="1101"/>
      <c r="G99" s="1101"/>
      <c r="H99" s="1101"/>
      <c r="I99" s="1101"/>
      <c r="J99" s="1101"/>
      <c r="K99" s="1101"/>
      <c r="L99" s="1101"/>
      <c r="M99" s="1101"/>
      <c r="N99" s="1101"/>
    </row>
    <row r="100" spans="1:14" ht="15">
      <c r="A100" s="1429" t="s">
        <v>2184</v>
      </c>
      <c r="B100" s="1430"/>
      <c r="C100" s="1104">
        <v>0.25</v>
      </c>
      <c r="D100" s="1105"/>
      <c r="E100" s="1101"/>
      <c r="F100" s="1101"/>
      <c r="G100" s="1101"/>
      <c r="H100" s="1101"/>
      <c r="I100" s="1101"/>
      <c r="J100" s="1101"/>
      <c r="K100" s="1101"/>
      <c r="L100" s="1101"/>
      <c r="M100" s="1101"/>
      <c r="N100" s="1101"/>
    </row>
    <row r="101" spans="1:14" ht="14.25">
      <c r="A101" s="1429" t="s">
        <v>2185</v>
      </c>
      <c r="B101" s="1430" t="s">
        <v>2185</v>
      </c>
      <c r="C101" s="1105"/>
      <c r="D101" s="1105"/>
      <c r="E101" s="1060">
        <f>E97+E98+E99+E100</f>
        <v>97.074915824915834</v>
      </c>
      <c r="F101" s="1060">
        <f t="shared" ref="F101:N101" si="48">F97+F98+F99+F100</f>
        <v>91.759361684693559</v>
      </c>
      <c r="G101" s="1060">
        <f t="shared" si="48"/>
        <v>92.905897412312981</v>
      </c>
      <c r="H101" s="1060">
        <f t="shared" si="48"/>
        <v>95.952756734006712</v>
      </c>
      <c r="I101" s="1060">
        <f t="shared" si="48"/>
        <v>94.586894586894587</v>
      </c>
      <c r="J101" s="1060">
        <f t="shared" si="48"/>
        <v>91.983653245942563</v>
      </c>
      <c r="K101" s="1060">
        <f t="shared" si="48"/>
        <v>94.500778433300553</v>
      </c>
      <c r="L101" s="1060">
        <f t="shared" si="48"/>
        <v>95.844184027777786</v>
      </c>
      <c r="M101" s="1060">
        <f t="shared" si="48"/>
        <v>94.65152275769745</v>
      </c>
      <c r="N101" s="1060">
        <f t="shared" si="48"/>
        <v>95.549087690631808</v>
      </c>
    </row>
    <row r="105" spans="1:14" ht="15">
      <c r="B105" s="1108" t="s">
        <v>2217</v>
      </c>
      <c r="C105" s="1063" t="s">
        <v>1186</v>
      </c>
      <c r="D105" s="1107">
        <f>VALUE($E$101)</f>
        <v>97.074915824915834</v>
      </c>
    </row>
    <row r="106" spans="1:14" ht="15">
      <c r="C106" s="1063" t="s">
        <v>1189</v>
      </c>
      <c r="D106" s="1107">
        <f>VALUE($H$101)</f>
        <v>95.952756734006712</v>
      </c>
    </row>
    <row r="107" spans="1:14" ht="15">
      <c r="C107" s="1063" t="s">
        <v>1193</v>
      </c>
      <c r="D107" s="1107">
        <f>VALUE($L$101)</f>
        <v>95.844184027777786</v>
      </c>
    </row>
    <row r="108" spans="1:14" ht="15">
      <c r="C108" s="1063" t="s">
        <v>1195</v>
      </c>
      <c r="D108" s="1107">
        <f>VALUE($N$101)</f>
        <v>95.549087690631808</v>
      </c>
    </row>
    <row r="109" spans="1:14" ht="15">
      <c r="C109" s="1063" t="s">
        <v>1194</v>
      </c>
      <c r="D109" s="1107">
        <f>VALUE($M$101)</f>
        <v>94.65152275769745</v>
      </c>
    </row>
    <row r="110" spans="1:14" ht="15">
      <c r="C110" s="1063" t="s">
        <v>1190</v>
      </c>
      <c r="D110" s="1107">
        <f>VALUE($I$101)</f>
        <v>94.586894586894587</v>
      </c>
    </row>
    <row r="111" spans="1:14" ht="15">
      <c r="C111" s="1063" t="s">
        <v>1192</v>
      </c>
      <c r="D111" s="1107">
        <f>VALUE($K$101)</f>
        <v>94.500778433300553</v>
      </c>
    </row>
    <row r="112" spans="1:14" ht="15">
      <c r="C112" s="1063" t="s">
        <v>1188</v>
      </c>
      <c r="D112" s="1107">
        <f>VALUE($G$101)</f>
        <v>92.905897412312981</v>
      </c>
    </row>
    <row r="113" spans="1:4" ht="15">
      <c r="C113" s="1063" t="s">
        <v>1191</v>
      </c>
      <c r="D113" s="1107">
        <f>VALUE($J$101)</f>
        <v>91.983653245942563</v>
      </c>
    </row>
    <row r="114" spans="1:4" ht="15">
      <c r="C114" s="1063" t="s">
        <v>1187</v>
      </c>
      <c r="D114" s="1107">
        <f>VALUE($F$101)</f>
        <v>91.759361684693559</v>
      </c>
    </row>
    <row r="117" spans="1:4">
      <c r="A117" s="860" t="s">
        <v>2465</v>
      </c>
    </row>
    <row r="118" spans="1:4">
      <c r="A118" s="860" t="s">
        <v>2464</v>
      </c>
    </row>
    <row r="119" spans="1:4">
      <c r="A119" s="860" t="s">
        <v>2461</v>
      </c>
    </row>
    <row r="120" spans="1:4">
      <c r="A120" s="860" t="s">
        <v>2462</v>
      </c>
    </row>
  </sheetData>
  <sortState ref="B105:D114">
    <sortCondition descending="1" ref="D105"/>
  </sortState>
  <mergeCells count="37">
    <mergeCell ref="A2:A35"/>
    <mergeCell ref="B11:B12"/>
    <mergeCell ref="B13:B14"/>
    <mergeCell ref="B15:B16"/>
    <mergeCell ref="B20:B21"/>
    <mergeCell ref="B22:B23"/>
    <mergeCell ref="B30:B31"/>
    <mergeCell ref="A101:B101"/>
    <mergeCell ref="A54:A81"/>
    <mergeCell ref="B61:B62"/>
    <mergeCell ref="B67:B68"/>
    <mergeCell ref="B70:B71"/>
    <mergeCell ref="B76:B77"/>
    <mergeCell ref="B74:B75"/>
    <mergeCell ref="A96:B96"/>
    <mergeCell ref="A97:B97"/>
    <mergeCell ref="A98:B98"/>
    <mergeCell ref="A99:B99"/>
    <mergeCell ref="A100:B100"/>
    <mergeCell ref="B94:B95"/>
    <mergeCell ref="B88:B89"/>
    <mergeCell ref="B92:B93"/>
    <mergeCell ref="B90:B91"/>
    <mergeCell ref="A82:A95"/>
    <mergeCell ref="B84:B85"/>
    <mergeCell ref="B86:B87"/>
    <mergeCell ref="Y41:Z41"/>
    <mergeCell ref="B82:B83"/>
    <mergeCell ref="T42:U42"/>
    <mergeCell ref="V42:W42"/>
    <mergeCell ref="X42:Y42"/>
    <mergeCell ref="S41:T41"/>
    <mergeCell ref="U41:V41"/>
    <mergeCell ref="W41:X41"/>
    <mergeCell ref="B45:B46"/>
    <mergeCell ref="B47:B48"/>
    <mergeCell ref="A36:A53"/>
  </mergeCells>
  <phoneticPr fontId="3" type="noConversion"/>
  <conditionalFormatting sqref="E2:N2">
    <cfRule type="cellIs" dxfId="378" priority="215" operator="lessThan">
      <formula>$D$2</formula>
    </cfRule>
  </conditionalFormatting>
  <conditionalFormatting sqref="E3:N3">
    <cfRule type="cellIs" dxfId="377" priority="213" operator="lessThan">
      <formula>$D$3</formula>
    </cfRule>
  </conditionalFormatting>
  <conditionalFormatting sqref="E4:N4">
    <cfRule type="cellIs" dxfId="376" priority="211" operator="lessThan">
      <formula>$D$4</formula>
    </cfRule>
  </conditionalFormatting>
  <conditionalFormatting sqref="E5 F12:N12 F14:N14 F16:N16 F23:N23 F27:N27 F5:N6">
    <cfRule type="cellIs" dxfId="375" priority="209" operator="lessThan">
      <formula>$D$5</formula>
    </cfRule>
  </conditionalFormatting>
  <conditionalFormatting sqref="E7:N7">
    <cfRule type="cellIs" dxfId="374" priority="206" operator="lessThan">
      <formula>$D$7</formula>
    </cfRule>
  </conditionalFormatting>
  <conditionalFormatting sqref="H9:N9 E8:N8">
    <cfRule type="cellIs" dxfId="373" priority="204" operator="lessThan">
      <formula>$D$8</formula>
    </cfRule>
  </conditionalFormatting>
  <conditionalFormatting sqref="E9:N9">
    <cfRule type="cellIs" dxfId="372" priority="202" operator="lessThan">
      <formula>$D$9</formula>
    </cfRule>
  </conditionalFormatting>
  <conditionalFormatting sqref="E10:N10">
    <cfRule type="cellIs" dxfId="371" priority="200" operator="lessThan">
      <formula>$D$10</formula>
    </cfRule>
  </conditionalFormatting>
  <conditionalFormatting sqref="E12:N12">
    <cfRule type="cellIs" dxfId="370" priority="198" operator="lessThan">
      <formula>$D$12</formula>
    </cfRule>
  </conditionalFormatting>
  <conditionalFormatting sqref="F12:N12">
    <cfRule type="cellIs" dxfId="369" priority="197" operator="lessThan">
      <formula>$D$6</formula>
    </cfRule>
  </conditionalFormatting>
  <conditionalFormatting sqref="E76:N76 E15:N15 E11:N11 E22:N22 E20:N20 E30:N30 E45:N45 E61:N61 E67:N67 E70:N70 E74:N74 E82:N82 E84:N84">
    <cfRule type="cellIs" dxfId="368" priority="193" operator="greaterThan">
      <formula>0</formula>
    </cfRule>
  </conditionalFormatting>
  <conditionalFormatting sqref="E16:N16">
    <cfRule type="cellIs" dxfId="367" priority="188" operator="lessThan">
      <formula>$D$16</formula>
    </cfRule>
  </conditionalFormatting>
  <conditionalFormatting sqref="E17:N17">
    <cfRule type="cellIs" dxfId="366" priority="184" operator="lessThan">
      <formula>$D$17</formula>
    </cfRule>
  </conditionalFormatting>
  <conditionalFormatting sqref="E18:N18">
    <cfRule type="cellIs" dxfId="365" priority="180" operator="lessThan">
      <formula>$D$18</formula>
    </cfRule>
  </conditionalFormatting>
  <conditionalFormatting sqref="E19:N19">
    <cfRule type="cellIs" dxfId="364" priority="176" operator="lessThan">
      <formula>$D$19</formula>
    </cfRule>
  </conditionalFormatting>
  <conditionalFormatting sqref="E21:N21">
    <cfRule type="cellIs" dxfId="363" priority="170" operator="lessThan">
      <formula>$D$21</formula>
    </cfRule>
  </conditionalFormatting>
  <conditionalFormatting sqref="E24:N24">
    <cfRule type="cellIs" dxfId="362" priority="168" operator="lessThan">
      <formula>$D$24</formula>
    </cfRule>
  </conditionalFormatting>
  <conditionalFormatting sqref="E25:N25">
    <cfRule type="cellIs" dxfId="361" priority="164" operator="lessThan">
      <formula>$D$25</formula>
    </cfRule>
  </conditionalFormatting>
  <conditionalFormatting sqref="E26:N27">
    <cfRule type="cellIs" dxfId="360" priority="160" operator="lessThan">
      <formula>$D$26</formula>
    </cfRule>
  </conditionalFormatting>
  <conditionalFormatting sqref="E28:N28">
    <cfRule type="cellIs" dxfId="359" priority="154" operator="lessThan">
      <formula>$D$28</formula>
    </cfRule>
  </conditionalFormatting>
  <conditionalFormatting sqref="E29:N29">
    <cfRule type="cellIs" dxfId="358" priority="150" operator="lessThan">
      <formula>$D$29</formula>
    </cfRule>
  </conditionalFormatting>
  <conditionalFormatting sqref="E31:N31">
    <cfRule type="cellIs" dxfId="357" priority="143" operator="lessThan">
      <formula>$D$31</formula>
    </cfRule>
  </conditionalFormatting>
  <conditionalFormatting sqref="E33:N33">
    <cfRule type="cellIs" dxfId="356" priority="139" operator="lessThan">
      <formula>$D$33</formula>
    </cfRule>
  </conditionalFormatting>
  <conditionalFormatting sqref="E34:N34">
    <cfRule type="cellIs" dxfId="355" priority="135" operator="lessThan">
      <formula>$D$34</formula>
    </cfRule>
  </conditionalFormatting>
  <conditionalFormatting sqref="E35:N35">
    <cfRule type="cellIs" dxfId="354" priority="133" operator="lessThan">
      <formula>$D$35</formula>
    </cfRule>
  </conditionalFormatting>
  <conditionalFormatting sqref="E37:N37">
    <cfRule type="cellIs" dxfId="353" priority="131" operator="lessThan">
      <formula>$D$37</formula>
    </cfRule>
  </conditionalFormatting>
  <conditionalFormatting sqref="E38:N38">
    <cfRule type="cellIs" dxfId="352" priority="127" operator="lessThan">
      <formula>$D$38</formula>
    </cfRule>
  </conditionalFormatting>
  <conditionalFormatting sqref="E39:N39">
    <cfRule type="cellIs" dxfId="351" priority="121" operator="lessThan">
      <formula>$D$39</formula>
    </cfRule>
  </conditionalFormatting>
  <conditionalFormatting sqref="E40:N40">
    <cfRule type="cellIs" dxfId="350" priority="119" operator="lessThan">
      <formula>$D$40</formula>
    </cfRule>
  </conditionalFormatting>
  <conditionalFormatting sqref="E41:N41">
    <cfRule type="cellIs" dxfId="349" priority="117" operator="lessThan">
      <formula>$D$41</formula>
    </cfRule>
  </conditionalFormatting>
  <conditionalFormatting sqref="E43:N43">
    <cfRule type="cellIs" dxfId="348" priority="113" operator="lessThan">
      <formula>$D$43</formula>
    </cfRule>
  </conditionalFormatting>
  <conditionalFormatting sqref="E42:N42">
    <cfRule type="cellIs" dxfId="347" priority="111" operator="lessThan">
      <formula>$D$42</formula>
    </cfRule>
  </conditionalFormatting>
  <conditionalFormatting sqref="E44:N44 F46:N46">
    <cfRule type="cellIs" dxfId="346" priority="107" operator="lessThan">
      <formula>$D$44</formula>
    </cfRule>
  </conditionalFormatting>
  <conditionalFormatting sqref="E46:N46">
    <cfRule type="cellIs" dxfId="345" priority="101" operator="lessThan">
      <formula>$D$46</formula>
    </cfRule>
    <cfRule type="cellIs" dxfId="344" priority="105" operator="lessThan">
      <formula>$D$44</formula>
    </cfRule>
  </conditionalFormatting>
  <conditionalFormatting sqref="E47:N47">
    <cfRule type="cellIs" dxfId="343" priority="91" operator="lessThan">
      <formula>0</formula>
    </cfRule>
  </conditionalFormatting>
  <conditionalFormatting sqref="E48:N48">
    <cfRule type="cellIs" dxfId="342" priority="90" operator="lessThan">
      <formula>$D$48</formula>
    </cfRule>
  </conditionalFormatting>
  <conditionalFormatting sqref="E50:N50">
    <cfRule type="cellIs" dxfId="341" priority="88" operator="lessThan">
      <formula>$D$50</formula>
    </cfRule>
  </conditionalFormatting>
  <conditionalFormatting sqref="E51:N51">
    <cfRule type="cellIs" dxfId="340" priority="84" operator="lessThan">
      <formula>$D$51</formula>
    </cfRule>
  </conditionalFormatting>
  <conditionalFormatting sqref="E52:N52">
    <cfRule type="cellIs" dxfId="339" priority="80" operator="lessThan">
      <formula>$D$52</formula>
    </cfRule>
  </conditionalFormatting>
  <conditionalFormatting sqref="E55:N55">
    <cfRule type="cellIs" dxfId="338" priority="78" operator="lessThan">
      <formula>$D$55</formula>
    </cfRule>
  </conditionalFormatting>
  <conditionalFormatting sqref="E56:N56">
    <cfRule type="cellIs" dxfId="337" priority="76" operator="lessThan">
      <formula>$D$56</formula>
    </cfRule>
  </conditionalFormatting>
  <conditionalFormatting sqref="E57:N57">
    <cfRule type="cellIs" dxfId="336" priority="72" operator="lessThan">
      <formula>$D$57</formula>
    </cfRule>
  </conditionalFormatting>
  <conditionalFormatting sqref="E58:N60">
    <cfRule type="cellIs" dxfId="335" priority="68" operator="lessThan">
      <formula>$D$58</formula>
    </cfRule>
  </conditionalFormatting>
  <conditionalFormatting sqref="E62:N62">
    <cfRule type="cellIs" dxfId="334" priority="62" operator="lessThan">
      <formula>$D$62</formula>
    </cfRule>
  </conditionalFormatting>
  <conditionalFormatting sqref="E63:N63">
    <cfRule type="cellIs" dxfId="333" priority="61" operator="lessThan">
      <formula>$D$63</formula>
    </cfRule>
  </conditionalFormatting>
  <conditionalFormatting sqref="E64:N64">
    <cfRule type="cellIs" dxfId="332" priority="59" operator="lessThan">
      <formula>$D$64</formula>
    </cfRule>
  </conditionalFormatting>
  <conditionalFormatting sqref="E65:N65">
    <cfRule type="cellIs" dxfId="331" priority="57" operator="lessThan">
      <formula>$D$65</formula>
    </cfRule>
  </conditionalFormatting>
  <conditionalFormatting sqref="E66:N66">
    <cfRule type="cellIs" dxfId="330" priority="53" operator="lessThan">
      <formula>$D$66</formula>
    </cfRule>
  </conditionalFormatting>
  <conditionalFormatting sqref="E68:N68">
    <cfRule type="cellIs" dxfId="329" priority="43" operator="lessThan">
      <formula>$D$68</formula>
    </cfRule>
  </conditionalFormatting>
  <conditionalFormatting sqref="E69:N69">
    <cfRule type="cellIs" dxfId="328" priority="41" operator="lessThan">
      <formula>$D$69</formula>
    </cfRule>
  </conditionalFormatting>
  <conditionalFormatting sqref="E71:N71">
    <cfRule type="cellIs" dxfId="327" priority="36" operator="lessThan">
      <formula>$D$71</formula>
    </cfRule>
  </conditionalFormatting>
  <conditionalFormatting sqref="E72:N72">
    <cfRule type="cellIs" dxfId="326" priority="34" operator="lessThan">
      <formula>$D$72</formula>
    </cfRule>
  </conditionalFormatting>
  <conditionalFormatting sqref="E73:N73">
    <cfRule type="cellIs" dxfId="325" priority="30" operator="lessThan">
      <formula>$D$73</formula>
    </cfRule>
  </conditionalFormatting>
  <conditionalFormatting sqref="E75:N75">
    <cfRule type="cellIs" dxfId="324" priority="22" operator="lessThan">
      <formula>$D$75</formula>
    </cfRule>
  </conditionalFormatting>
  <conditionalFormatting sqref="E77:N77">
    <cfRule type="cellIs" dxfId="323" priority="21" operator="lessThan">
      <formula>$D$77</formula>
    </cfRule>
  </conditionalFormatting>
  <conditionalFormatting sqref="E76:N76">
    <cfRule type="cellIs" dxfId="322" priority="19" operator="greaterThan">
      <formula>0</formula>
    </cfRule>
    <cfRule type="cellIs" dxfId="321" priority="20" operator="greaterThan">
      <formula>0</formula>
    </cfRule>
  </conditionalFormatting>
  <conditionalFormatting sqref="E79:N79">
    <cfRule type="cellIs" dxfId="320" priority="17" operator="lessThan">
      <formula>$D$79</formula>
    </cfRule>
  </conditionalFormatting>
  <conditionalFormatting sqref="E80:N80">
    <cfRule type="cellIs" dxfId="319" priority="13" operator="lessThan">
      <formula>$D$80</formula>
    </cfRule>
  </conditionalFormatting>
  <conditionalFormatting sqref="E81:N81">
    <cfRule type="cellIs" dxfId="318" priority="11" operator="lessThan">
      <formula>9</formula>
    </cfRule>
  </conditionalFormatting>
  <conditionalFormatting sqref="E83:N83">
    <cfRule type="cellIs" dxfId="317" priority="10" operator="lessThan">
      <formula>$D$83</formula>
    </cfRule>
  </conditionalFormatting>
  <conditionalFormatting sqref="E85:N85">
    <cfRule type="cellIs" dxfId="316" priority="7" operator="lessThan">
      <formula>4</formula>
    </cfRule>
  </conditionalFormatting>
  <conditionalFormatting sqref="E87:N87 E89:N89 E91:N91 E93:N93 E95:N95">
    <cfRule type="cellIs" dxfId="315" priority="5" operator="lessThan">
      <formula>$D$87</formula>
    </cfRule>
  </conditionalFormatting>
  <hyperlinks>
    <hyperlink ref="A117" location="绩效总分!A1" display="绩效总分"/>
    <hyperlink ref="A118" location="'总公司绩效-I'!A1" display="总公司绩效-I"/>
    <hyperlink ref="A120" location="目录!A1" display="目录"/>
    <hyperlink ref="A119" location="'总公司绩效-II'!A1" display="总公司绩效-II"/>
  </hyperlinks>
  <pageMargins left="0.7" right="0.7" top="0.75" bottom="0.75" header="0.3" footer="0.3"/>
  <ignoredErrors>
    <ignoredError sqref="E9:G9 I9:N9" formula="1"/>
  </ignoredErrors>
  <legacyDrawing r:id="rId1"/>
</worksheet>
</file>

<file path=xl/worksheets/sheet7.xml><?xml version="1.0" encoding="utf-8"?>
<worksheet xmlns="http://schemas.openxmlformats.org/spreadsheetml/2006/main" xmlns:r="http://schemas.openxmlformats.org/officeDocument/2006/relationships">
  <sheetPr>
    <tabColor theme="3"/>
  </sheetPr>
  <dimension ref="A1:O102"/>
  <sheetViews>
    <sheetView workbookViewId="0">
      <pane xSplit="4" ySplit="1" topLeftCell="E20" activePane="bottomRight" state="frozenSplit"/>
      <selection pane="topRight" activeCell="F1" sqref="F1"/>
      <selection pane="bottomLeft" activeCell="A27" sqref="A27"/>
      <selection pane="bottomRight" activeCell="E17" sqref="E17"/>
    </sheetView>
  </sheetViews>
  <sheetFormatPr defaultRowHeight="13.5"/>
  <cols>
    <col min="1" max="1" width="7.75" customWidth="1"/>
    <col min="2" max="2" width="34.25" customWidth="1"/>
    <col min="3" max="3" width="10" customWidth="1"/>
    <col min="4" max="4" width="10.25" bestFit="1" customWidth="1"/>
    <col min="5" max="10" width="8.5" bestFit="1" customWidth="1"/>
    <col min="11" max="11" width="14.125" customWidth="1"/>
    <col min="12" max="12" width="8.75" customWidth="1"/>
    <col min="13" max="13" width="12.375" customWidth="1"/>
  </cols>
  <sheetData>
    <row r="1" spans="1:15" ht="15.75" thickBot="1">
      <c r="A1" s="1138" t="s">
        <v>2125</v>
      </c>
      <c r="B1" s="681" t="s">
        <v>2126</v>
      </c>
      <c r="C1" s="681" t="s">
        <v>2127</v>
      </c>
      <c r="D1" s="681" t="s">
        <v>584</v>
      </c>
      <c r="E1" s="1115" t="s">
        <v>1671</v>
      </c>
      <c r="F1" s="1115" t="s">
        <v>1672</v>
      </c>
      <c r="G1" s="1115" t="s">
        <v>1673</v>
      </c>
      <c r="H1" s="1115" t="s">
        <v>1674</v>
      </c>
      <c r="I1" s="1115" t="s">
        <v>1675</v>
      </c>
      <c r="J1" s="1115" t="s">
        <v>1676</v>
      </c>
      <c r="K1" s="681" t="s">
        <v>2189</v>
      </c>
      <c r="L1" s="1459" t="s">
        <v>2305</v>
      </c>
      <c r="M1" s="1460"/>
    </row>
    <row r="2" spans="1:15" ht="14.25">
      <c r="A2" s="1444" t="s">
        <v>2284</v>
      </c>
      <c r="B2" s="1120" t="s">
        <v>1</v>
      </c>
      <c r="C2" s="1136">
        <f t="shared" ref="C2:C56" si="0">30%*(1/18)</f>
        <v>1.6666666666666666E-2</v>
      </c>
      <c r="D2" s="1181">
        <v>9</v>
      </c>
      <c r="E2" s="1183"/>
      <c r="F2" s="1213">
        <f>(1-'OR02-销售承保'!L4)*$D$2</f>
        <v>7.2472790596430121</v>
      </c>
      <c r="G2" s="1214">
        <f>(1-'OR02-销售承保'!M4)*$D$2</f>
        <v>7.2321428571428577</v>
      </c>
      <c r="H2" s="1215">
        <f>(1-'OR02-销售承保'!N4)*$D$2</f>
        <v>7.59375</v>
      </c>
      <c r="I2" s="1216">
        <f>(1-'OR02-销售承保'!O4)*$D$2</f>
        <v>8.1627906976744189</v>
      </c>
      <c r="J2" s="1260">
        <f>(1-'OR02-销售承保'!P4)*$D$2</f>
        <v>8.1999999999999993</v>
      </c>
      <c r="K2" s="1395" t="s">
        <v>2186</v>
      </c>
      <c r="L2" s="1395"/>
      <c r="M2" s="1384"/>
    </row>
    <row r="3" spans="1:15" ht="16.5">
      <c r="A3" s="1445"/>
      <c r="B3" s="20" t="s">
        <v>2285</v>
      </c>
      <c r="C3" s="1126">
        <f t="shared" si="0"/>
        <v>1.6666666666666666E-2</v>
      </c>
      <c r="D3" s="1371">
        <v>6</v>
      </c>
      <c r="E3" s="1147">
        <f>'OR02-销售承保'!R8</f>
        <v>6</v>
      </c>
      <c r="F3" s="1178"/>
      <c r="G3" s="1203">
        <f>'OR02-销售承保'!R8</f>
        <v>6</v>
      </c>
      <c r="H3" s="1178"/>
      <c r="I3" s="1178"/>
      <c r="J3" s="1208"/>
      <c r="K3" s="1279" t="s">
        <v>2186</v>
      </c>
      <c r="L3" s="1279"/>
      <c r="M3" s="1385"/>
      <c r="N3" s="1" t="s">
        <v>1671</v>
      </c>
      <c r="O3" s="1146"/>
    </row>
    <row r="4" spans="1:15" ht="16.5">
      <c r="A4" s="1445"/>
      <c r="B4" s="20" t="s">
        <v>3</v>
      </c>
      <c r="C4" s="1126">
        <f t="shared" si="0"/>
        <v>1.6666666666666666E-2</v>
      </c>
      <c r="D4" s="1371">
        <v>7</v>
      </c>
      <c r="E4" s="401"/>
      <c r="F4" s="1217">
        <f>'OR02-销售承保'!L11*$D$4</f>
        <v>5.5627799450946389</v>
      </c>
      <c r="G4" s="1218">
        <f>'OR02-销售承保'!M11*D4</f>
        <v>6.625</v>
      </c>
      <c r="H4" s="1219">
        <f>'OR02-销售承保'!N11*D4</f>
        <v>5.15</v>
      </c>
      <c r="I4" s="1220">
        <f>'OR02-销售承保'!O11*D4</f>
        <v>7</v>
      </c>
      <c r="J4" s="1221">
        <f>'OR02-销售承保'!P11*D4</f>
        <v>6.5882352941176467</v>
      </c>
      <c r="K4" s="1279" t="s">
        <v>2186</v>
      </c>
      <c r="L4" s="1279"/>
      <c r="M4" s="1385"/>
      <c r="N4" s="1" t="s">
        <v>2302</v>
      </c>
      <c r="O4" s="1062"/>
    </row>
    <row r="5" spans="1:15" ht="16.5">
      <c r="A5" s="1445"/>
      <c r="B5" s="1454" t="s">
        <v>2281</v>
      </c>
      <c r="C5" s="1126"/>
      <c r="D5" s="1371"/>
      <c r="E5" s="401"/>
      <c r="F5" s="1193">
        <f>'OR02-销售承保'!L14</f>
        <v>4</v>
      </c>
      <c r="G5" s="1194">
        <f>'OR02-销售承保'!M14</f>
        <v>0</v>
      </c>
      <c r="H5" s="1195">
        <f>'OR02-销售承保'!N14</f>
        <v>0</v>
      </c>
      <c r="I5" s="1196">
        <f>'OR02-销售承保'!O14</f>
        <v>0</v>
      </c>
      <c r="J5" s="1197">
        <f>'OR02-销售承保'!P14</f>
        <v>0</v>
      </c>
      <c r="K5" s="1279" t="s">
        <v>2190</v>
      </c>
      <c r="L5" s="1279"/>
      <c r="M5" s="1385"/>
      <c r="N5" s="1" t="s">
        <v>2303</v>
      </c>
      <c r="O5" s="1269"/>
    </row>
    <row r="6" spans="1:15" ht="16.5">
      <c r="A6" s="1445"/>
      <c r="B6" s="1454"/>
      <c r="C6" s="1126">
        <f t="shared" si="0"/>
        <v>1.6666666666666666E-2</v>
      </c>
      <c r="D6" s="1371">
        <v>8</v>
      </c>
      <c r="E6" s="401"/>
      <c r="F6" s="1199">
        <f>8-1*F5</f>
        <v>4</v>
      </c>
      <c r="G6" s="1203">
        <f t="shared" ref="G6:J6" si="1">8-1*G5</f>
        <v>8</v>
      </c>
      <c r="H6" s="1142">
        <f t="shared" si="1"/>
        <v>8</v>
      </c>
      <c r="I6" s="1201">
        <f t="shared" si="1"/>
        <v>8</v>
      </c>
      <c r="J6" s="1202">
        <f t="shared" si="1"/>
        <v>8</v>
      </c>
      <c r="K6" s="1279" t="s">
        <v>2192</v>
      </c>
      <c r="L6" s="1279"/>
      <c r="M6" s="1385"/>
      <c r="N6" s="1" t="s">
        <v>1674</v>
      </c>
      <c r="O6" s="1116"/>
    </row>
    <row r="7" spans="1:15" ht="16.5" customHeight="1">
      <c r="A7" s="1445"/>
      <c r="B7" s="1455" t="s">
        <v>2297</v>
      </c>
      <c r="C7" s="1126"/>
      <c r="D7" s="1371"/>
      <c r="E7" s="1198">
        <f>'OR02-销售承保'!K16</f>
        <v>0.97745456901298955</v>
      </c>
      <c r="F7" s="1209">
        <f>'OR02-销售承保'!L16</f>
        <v>0.98233349078885213</v>
      </c>
      <c r="G7" s="256"/>
      <c r="H7" s="1210">
        <f>'OR02-销售承保'!N16</f>
        <v>0.97516656571774685</v>
      </c>
      <c r="I7" s="1211">
        <f>'OR02-销售承保'!O16</f>
        <v>0.9642857142857143</v>
      </c>
      <c r="J7" s="1212">
        <f>'OR02-销售承保'!P16</f>
        <v>0.989247311827957</v>
      </c>
      <c r="K7" s="1279" t="s">
        <v>2299</v>
      </c>
      <c r="L7" s="1466" t="s">
        <v>2304</v>
      </c>
      <c r="M7" s="1467"/>
      <c r="N7" s="1" t="s">
        <v>1675</v>
      </c>
      <c r="O7" s="1118"/>
    </row>
    <row r="8" spans="1:15" ht="16.5">
      <c r="A8" s="1445"/>
      <c r="B8" s="1455"/>
      <c r="C8" s="1100">
        <f t="shared" si="0"/>
        <v>1.6666666666666666E-2</v>
      </c>
      <c r="D8" s="1371">
        <v>7</v>
      </c>
      <c r="E8" s="1148">
        <f>IF(E7&gt;0.95,7,IF(E7&gt;0.9,7*E7-63,0))</f>
        <v>7</v>
      </c>
      <c r="F8" s="1199">
        <f t="shared" ref="F8:J8" si="2">IF(F7&gt;0.95,7,IF(F7&gt;0.9,7*F7-63,0))</f>
        <v>7</v>
      </c>
      <c r="G8" s="1200"/>
      <c r="H8" s="1142">
        <f t="shared" si="2"/>
        <v>7</v>
      </c>
      <c r="I8" s="1201">
        <f t="shared" si="2"/>
        <v>7</v>
      </c>
      <c r="J8" s="1202">
        <f t="shared" si="2"/>
        <v>7</v>
      </c>
      <c r="K8" s="1279" t="s">
        <v>2186</v>
      </c>
      <c r="L8" s="1279"/>
      <c r="M8" s="1385"/>
      <c r="N8" s="1" t="s">
        <v>1676</v>
      </c>
      <c r="O8" s="1117"/>
    </row>
    <row r="9" spans="1:15" ht="14.25">
      <c r="A9" s="1445"/>
      <c r="B9" s="1179" t="s">
        <v>2282</v>
      </c>
      <c r="C9" s="1126">
        <f t="shared" si="0"/>
        <v>1.6666666666666666E-2</v>
      </c>
      <c r="D9" s="1371">
        <v>7</v>
      </c>
      <c r="E9" s="1231"/>
      <c r="F9" s="1232">
        <f>(1-'OR02-销售承保'!L19)*7</f>
        <v>6.9022140221402211</v>
      </c>
      <c r="G9" s="1233">
        <f>D9</f>
        <v>7</v>
      </c>
      <c r="H9" s="1234">
        <f>(1-'OR02-销售承保'!N19)*7</f>
        <v>6.7702612190221032</v>
      </c>
      <c r="I9" s="1235">
        <f>(1-'OR02-销售承保'!O19)*7</f>
        <v>6.8644432490586338</v>
      </c>
      <c r="J9" s="1236">
        <f>(1-'OR02-销售承保'!P19)*7</f>
        <v>6.9135802469135799</v>
      </c>
      <c r="K9" s="1279" t="s">
        <v>2186</v>
      </c>
      <c r="L9" s="1279"/>
      <c r="M9" s="1385"/>
    </row>
    <row r="10" spans="1:15" ht="28.5">
      <c r="A10" s="1445"/>
      <c r="B10" s="1179" t="s">
        <v>2283</v>
      </c>
      <c r="C10" s="1126">
        <f t="shared" si="0"/>
        <v>1.6666666666666666E-2</v>
      </c>
      <c r="D10" s="1371">
        <v>4</v>
      </c>
      <c r="E10" s="1237"/>
      <c r="F10" s="1193">
        <f>4-'OR02-销售承保'!L22*0.5</f>
        <v>0.5</v>
      </c>
      <c r="G10" s="1194">
        <f>4-'OR02-销售承保'!M22*0.5</f>
        <v>4</v>
      </c>
      <c r="H10" s="1195">
        <f>4-'OR02-销售承保'!N22*0.5</f>
        <v>4</v>
      </c>
      <c r="I10" s="1196">
        <f>4-'OR02-销售承保'!O22*0.5</f>
        <v>4</v>
      </c>
      <c r="J10" s="1197">
        <f>4-'OR02-销售承保'!P22*0.5</f>
        <v>4</v>
      </c>
      <c r="K10" s="1279" t="s">
        <v>2186</v>
      </c>
      <c r="L10" s="1279"/>
      <c r="M10" s="1385"/>
    </row>
    <row r="11" spans="1:15" ht="28.5">
      <c r="A11" s="1445"/>
      <c r="B11" s="1179" t="s">
        <v>564</v>
      </c>
      <c r="C11" s="1126">
        <f t="shared" si="0"/>
        <v>1.6666666666666666E-2</v>
      </c>
      <c r="D11" s="1371">
        <v>4</v>
      </c>
      <c r="E11" s="1237"/>
      <c r="F11" s="1193">
        <f>4-'OR02-销售承保'!L23*0.5</f>
        <v>4</v>
      </c>
      <c r="G11" s="1194">
        <f>4-'OR02-销售承保'!M23*0.5</f>
        <v>4</v>
      </c>
      <c r="H11" s="1195">
        <f>4-'OR02-销售承保'!N23*0.5</f>
        <v>4</v>
      </c>
      <c r="I11" s="1196">
        <f>4-'OR02-销售承保'!O23*0.5</f>
        <v>4</v>
      </c>
      <c r="J11" s="1197">
        <f>4-'OR02-销售承保'!P23*0.5</f>
        <v>4</v>
      </c>
      <c r="K11" s="1279" t="s">
        <v>2186</v>
      </c>
      <c r="L11" s="1279"/>
      <c r="M11" s="1385"/>
    </row>
    <row r="12" spans="1:15" ht="28.5">
      <c r="A12" s="1445"/>
      <c r="B12" s="1179" t="s">
        <v>2298</v>
      </c>
      <c r="C12" s="1126">
        <f t="shared" si="0"/>
        <v>1.6666666666666666E-2</v>
      </c>
      <c r="D12" s="1371">
        <v>5</v>
      </c>
      <c r="E12" s="1237"/>
      <c r="F12" s="1193">
        <f>5-'OR02-销售承保'!L27*0.5</f>
        <v>4.5</v>
      </c>
      <c r="G12" s="1194">
        <f>5-'OR02-销售承保'!M27*0.5</f>
        <v>5</v>
      </c>
      <c r="H12" s="1195">
        <f>5-'OR02-销售承保'!N27*0.5</f>
        <v>5</v>
      </c>
      <c r="I12" s="1196">
        <f>5-'OR02-销售承保'!O27*0.5</f>
        <v>5</v>
      </c>
      <c r="J12" s="1197">
        <f>5-'OR02-销售承保'!P27*0.5</f>
        <v>5</v>
      </c>
      <c r="K12" s="1279" t="s">
        <v>2186</v>
      </c>
      <c r="L12" s="1279"/>
      <c r="M12" s="1385"/>
    </row>
    <row r="13" spans="1:15" ht="28.5">
      <c r="A13" s="1445"/>
      <c r="B13" s="1179" t="s">
        <v>565</v>
      </c>
      <c r="C13" s="1126">
        <f t="shared" si="0"/>
        <v>1.6666666666666666E-2</v>
      </c>
      <c r="D13" s="1371">
        <v>5</v>
      </c>
      <c r="E13" s="1237"/>
      <c r="F13" s="1193">
        <f>5-0.5*'OR02-销售承保'!L28</f>
        <v>5</v>
      </c>
      <c r="G13" s="1194">
        <f>5-0.5*'OR02-销售承保'!M28</f>
        <v>5</v>
      </c>
      <c r="H13" s="1195">
        <f>5-0.5*'OR02-销售承保'!N28</f>
        <v>5</v>
      </c>
      <c r="I13" s="1196">
        <f>5-0.5*'OR02-销售承保'!O28</f>
        <v>5</v>
      </c>
      <c r="J13" s="1197">
        <f>5-0.5*'OR02-销售承保'!P28</f>
        <v>5</v>
      </c>
      <c r="K13" s="1279" t="s">
        <v>2186</v>
      </c>
      <c r="L13" s="1279"/>
      <c r="M13" s="1385"/>
    </row>
    <row r="14" spans="1:15" ht="28.5">
      <c r="A14" s="1445"/>
      <c r="B14" s="1179" t="s">
        <v>566</v>
      </c>
      <c r="C14" s="1126">
        <f t="shared" si="0"/>
        <v>1.6666666666666666E-2</v>
      </c>
      <c r="D14" s="1371">
        <v>5</v>
      </c>
      <c r="E14" s="1237"/>
      <c r="F14" s="1193">
        <f>5-0.5*'OR02-销售承保'!L29</f>
        <v>5</v>
      </c>
      <c r="G14" s="1194">
        <f>5-0.5*'OR02-销售承保'!M29</f>
        <v>5</v>
      </c>
      <c r="H14" s="1195">
        <f>5-0.5*'OR02-销售承保'!N29</f>
        <v>5</v>
      </c>
      <c r="I14" s="1196">
        <f>5-0.5*'OR02-销售承保'!O29</f>
        <v>5</v>
      </c>
      <c r="J14" s="1197">
        <f>5-0.5*'OR02-销售承保'!P29</f>
        <v>5</v>
      </c>
      <c r="K14" s="1279" t="s">
        <v>2186</v>
      </c>
      <c r="L14" s="1279"/>
      <c r="M14" s="1385"/>
    </row>
    <row r="15" spans="1:15" ht="28.5">
      <c r="A15" s="1445"/>
      <c r="B15" s="1179" t="s">
        <v>567</v>
      </c>
      <c r="C15" s="1126">
        <f t="shared" si="0"/>
        <v>1.6666666666666666E-2</v>
      </c>
      <c r="D15" s="1371">
        <v>5</v>
      </c>
      <c r="E15" s="1237"/>
      <c r="F15" s="1193">
        <f>5-0.5*'OR02-销售承保'!L30</f>
        <v>5</v>
      </c>
      <c r="G15" s="1194">
        <f>5-0.5*'OR02-销售承保'!M30</f>
        <v>5</v>
      </c>
      <c r="H15" s="1195">
        <f>5-0.5*'OR02-销售承保'!N30</f>
        <v>5</v>
      </c>
      <c r="I15" s="1196">
        <f>5-0.5*'OR02-销售承保'!O30</f>
        <v>5</v>
      </c>
      <c r="J15" s="1197">
        <f>5-0.5*'OR02-销售承保'!P30</f>
        <v>5</v>
      </c>
      <c r="K15" s="1279" t="s">
        <v>2186</v>
      </c>
      <c r="L15" s="1279"/>
      <c r="M15" s="1385"/>
    </row>
    <row r="16" spans="1:15" ht="15" thickBot="1">
      <c r="A16" s="1446"/>
      <c r="B16" s="1041" t="s">
        <v>18</v>
      </c>
      <c r="C16" s="1133">
        <f t="shared" si="0"/>
        <v>1.6666666666666666E-2</v>
      </c>
      <c r="D16" s="1182">
        <v>5</v>
      </c>
      <c r="E16" s="1396">
        <f>'OR02-销售承保'!R33</f>
        <v>5</v>
      </c>
      <c r="F16" s="1397"/>
      <c r="G16" s="1397"/>
      <c r="H16" s="1397"/>
      <c r="I16" s="1397"/>
      <c r="J16" s="1398"/>
      <c r="K16" s="1399" t="s">
        <v>2186</v>
      </c>
      <c r="L16" s="1399"/>
      <c r="M16" s="1386"/>
    </row>
    <row r="17" spans="1:13" ht="14.25">
      <c r="A17" s="1447" t="s">
        <v>2259</v>
      </c>
      <c r="B17" s="1222" t="s">
        <v>2104</v>
      </c>
      <c r="C17" s="1121">
        <f>70%*(1/18)</f>
        <v>3.8888888888888883E-2</v>
      </c>
      <c r="D17" s="1181">
        <v>3</v>
      </c>
      <c r="E17" s="1262">
        <f>GETPIVOTDATA("平均值项:得分",员工流失率!$K$3,"渠道","客服")</f>
        <v>2.7</v>
      </c>
      <c r="F17" s="1204">
        <f>GETPIVOTDATA("平均值项:得分",员工流失率!$K$3,"渠道","个险")</f>
        <v>1.5</v>
      </c>
      <c r="G17" s="1205">
        <f>GETPIVOTDATA("平均值项:得分",员工流失率!$K$3,"渠道","团险")</f>
        <v>0.8571428571428571</v>
      </c>
      <c r="H17" s="1206">
        <f>GETPIVOTDATA("平均值项:得分",员工流失率!$K$3,"渠道","银保")</f>
        <v>0.9</v>
      </c>
      <c r="I17" s="1207">
        <f>GETPIVOTDATA("平均值项:得分",员工流失率!$K$3,"渠道","多元")</f>
        <v>2.1428571428571428</v>
      </c>
      <c r="J17" s="1318">
        <f>GETPIVOTDATA("平均值项:得分",员工流失率!$K$3,"渠道","续期")</f>
        <v>2.5499999999999998</v>
      </c>
      <c r="K17" s="1395" t="s">
        <v>2186</v>
      </c>
      <c r="L17" s="1461" t="s">
        <v>2374</v>
      </c>
      <c r="M17" s="1462"/>
    </row>
    <row r="18" spans="1:13" ht="14.25">
      <c r="A18" s="1448"/>
      <c r="B18" s="1369" t="s">
        <v>2260</v>
      </c>
      <c r="C18" s="1100">
        <f>70%*(1/18)</f>
        <v>3.8888888888888883E-2</v>
      </c>
      <c r="D18" s="1371">
        <v>2</v>
      </c>
      <c r="E18" s="1367">
        <f>'OR04-分公司销售、承保、保全'!M7</f>
        <v>2</v>
      </c>
      <c r="F18" s="1239">
        <f>'OR04-分公司销售、承保、保全'!M7</f>
        <v>2</v>
      </c>
      <c r="G18" s="1240">
        <f>'OR04-分公司销售、承保、保全'!M7</f>
        <v>2</v>
      </c>
      <c r="H18" s="1241">
        <f>'OR04-分公司销售、承保、保全'!M7</f>
        <v>2</v>
      </c>
      <c r="I18" s="1245"/>
      <c r="J18" s="1243">
        <f>'OR04-分公司销售、承保、保全'!M7</f>
        <v>2</v>
      </c>
      <c r="K18" s="1279" t="s">
        <v>2186</v>
      </c>
      <c r="L18" s="1279"/>
      <c r="M18" s="1385"/>
    </row>
    <row r="19" spans="1:13" ht="14.25">
      <c r="A19" s="1448"/>
      <c r="B19" s="1369" t="s">
        <v>2272</v>
      </c>
      <c r="C19" s="1100"/>
      <c r="D19" s="1371"/>
      <c r="E19" s="1246"/>
      <c r="F19" s="1246"/>
      <c r="G19" s="1240">
        <f>'OR04-分公司销售、承保、保全'!M16</f>
        <v>1</v>
      </c>
      <c r="H19" s="1241">
        <f>'OR04-分公司销售、承保、保全'!M16</f>
        <v>1</v>
      </c>
      <c r="I19" s="1242">
        <f>'OR04-分公司销售、承保、保全'!M16</f>
        <v>1</v>
      </c>
      <c r="J19" s="1247"/>
      <c r="K19" s="1279" t="s">
        <v>2186</v>
      </c>
      <c r="L19" s="1279"/>
      <c r="M19" s="1385"/>
    </row>
    <row r="20" spans="1:13" ht="14.25">
      <c r="A20" s="1448"/>
      <c r="B20" s="1369" t="s">
        <v>1233</v>
      </c>
      <c r="C20" s="1100">
        <f t="shared" ref="C20:C29" si="3">70%*(1/18)</f>
        <v>3.8888888888888883E-2</v>
      </c>
      <c r="D20" s="1371">
        <v>2</v>
      </c>
      <c r="E20" s="1246"/>
      <c r="F20" s="1239">
        <f>'OR04-分公司销售、承保、保全'!M19</f>
        <v>2</v>
      </c>
      <c r="G20" s="1240">
        <f>'OR04-分公司销售、承保、保全'!M19</f>
        <v>2</v>
      </c>
      <c r="H20" s="1241">
        <f>'OR04-分公司销售、承保、保全'!M19</f>
        <v>2</v>
      </c>
      <c r="I20" s="1242">
        <f>'OR04-分公司销售、承保、保全'!M19</f>
        <v>2</v>
      </c>
      <c r="J20" s="1243">
        <f>'OR04-分公司销售、承保、保全'!M19</f>
        <v>2</v>
      </c>
      <c r="K20" s="1279" t="s">
        <v>2186</v>
      </c>
      <c r="L20" s="1279"/>
      <c r="M20" s="1385"/>
    </row>
    <row r="21" spans="1:13" ht="14.25">
      <c r="A21" s="1448"/>
      <c r="B21" s="1369" t="s">
        <v>2261</v>
      </c>
      <c r="C21" s="1100">
        <f t="shared" si="3"/>
        <v>3.8888888888888883E-2</v>
      </c>
      <c r="D21" s="1371">
        <v>2</v>
      </c>
      <c r="E21" s="1367">
        <f>'OR04-分公司销售、承保、保全'!M22</f>
        <v>2</v>
      </c>
      <c r="F21" s="1239">
        <f>'OR04-分公司销售、承保、保全'!M22</f>
        <v>2</v>
      </c>
      <c r="G21" s="1240">
        <f>'OR04-分公司销售、承保、保全'!M22</f>
        <v>2</v>
      </c>
      <c r="H21" s="1241">
        <f>'OR04-分公司销售、承保、保全'!M22</f>
        <v>2</v>
      </c>
      <c r="I21" s="1242">
        <f>'OR04-分公司销售、承保、保全'!M22</f>
        <v>2</v>
      </c>
      <c r="J21" s="1243">
        <f>'OR04-分公司销售、承保、保全'!M22</f>
        <v>2</v>
      </c>
      <c r="K21" s="1279" t="s">
        <v>2186</v>
      </c>
      <c r="L21" s="1279"/>
      <c r="M21" s="1385"/>
    </row>
    <row r="22" spans="1:13" ht="14.25">
      <c r="A22" s="1448"/>
      <c r="B22" s="1369" t="s">
        <v>2105</v>
      </c>
      <c r="C22" s="1100">
        <f t="shared" si="3"/>
        <v>3.8888888888888883E-2</v>
      </c>
      <c r="D22" s="1371">
        <v>2</v>
      </c>
      <c r="E22" s="1246"/>
      <c r="F22" s="1248">
        <f>'OR04-分公司销售、承保、保全'!M25</f>
        <v>0.68286322057776971</v>
      </c>
      <c r="G22" s="1245"/>
      <c r="H22" s="1245"/>
      <c r="I22" s="1245"/>
      <c r="J22" s="1247"/>
      <c r="K22" s="1279" t="s">
        <v>2186</v>
      </c>
      <c r="L22" s="1279"/>
      <c r="M22" s="1385"/>
    </row>
    <row r="23" spans="1:13" ht="14.25">
      <c r="A23" s="1448"/>
      <c r="B23" s="1456" t="s">
        <v>2269</v>
      </c>
      <c r="C23" s="1100"/>
      <c r="D23" s="1371"/>
      <c r="E23" s="1246"/>
      <c r="F23" s="1239">
        <v>15</v>
      </c>
      <c r="G23" s="1240">
        <v>0</v>
      </c>
      <c r="H23" s="1241">
        <v>0</v>
      </c>
      <c r="I23" s="1242">
        <v>0</v>
      </c>
      <c r="J23" s="1243">
        <v>0</v>
      </c>
      <c r="K23" s="1279" t="s">
        <v>2190</v>
      </c>
      <c r="L23" s="1279"/>
      <c r="M23" s="1385"/>
    </row>
    <row r="24" spans="1:13" ht="14.25">
      <c r="A24" s="1448"/>
      <c r="B24" s="1456"/>
      <c r="C24" s="1100">
        <f t="shared" si="3"/>
        <v>3.8888888888888883E-2</v>
      </c>
      <c r="D24" s="1371">
        <v>6</v>
      </c>
      <c r="E24" s="1246"/>
      <c r="F24" s="1239">
        <f>'OR04-分公司销售、承保、保全'!M28</f>
        <v>5.25</v>
      </c>
      <c r="G24" s="1240">
        <f>D24</f>
        <v>6</v>
      </c>
      <c r="H24" s="1241">
        <f>D24</f>
        <v>6</v>
      </c>
      <c r="I24" s="1242">
        <f>D24</f>
        <v>6</v>
      </c>
      <c r="J24" s="1243">
        <f>D24</f>
        <v>6</v>
      </c>
      <c r="K24" s="1279" t="s">
        <v>2186</v>
      </c>
      <c r="L24" s="1279"/>
      <c r="M24" s="1385"/>
    </row>
    <row r="25" spans="1:13" ht="14.25">
      <c r="A25" s="1448"/>
      <c r="B25" s="1456" t="s">
        <v>1252</v>
      </c>
      <c r="C25" s="1100"/>
      <c r="D25" s="1371"/>
      <c r="E25" s="1246"/>
      <c r="F25" s="1239">
        <f>'OR04-分公司销售、承保、保全'!$L$30*10</f>
        <v>0</v>
      </c>
      <c r="G25" s="1240">
        <f>'OR04-分公司销售、承保、保全'!$L$30*10</f>
        <v>0</v>
      </c>
      <c r="H25" s="1241">
        <f>'OR04-分公司销售、承保、保全'!$L$30*10</f>
        <v>0</v>
      </c>
      <c r="I25" s="1242">
        <f>'OR04-分公司销售、承保、保全'!$L$30*10</f>
        <v>0</v>
      </c>
      <c r="J25" s="1244"/>
      <c r="K25" s="1279" t="s">
        <v>2190</v>
      </c>
      <c r="L25" s="1279"/>
      <c r="M25" s="1385"/>
    </row>
    <row r="26" spans="1:13" ht="14.25">
      <c r="A26" s="1448"/>
      <c r="B26" s="1456"/>
      <c r="C26" s="1100">
        <f t="shared" si="3"/>
        <v>3.8888888888888883E-2</v>
      </c>
      <c r="D26" s="1371">
        <v>6</v>
      </c>
      <c r="E26" s="1246"/>
      <c r="F26" s="1239">
        <f>'OR04-分公司销售、承保、保全'!M30</f>
        <v>6</v>
      </c>
      <c r="G26" s="1240">
        <f>'OR04-分公司销售、承保、保全'!M30</f>
        <v>6</v>
      </c>
      <c r="H26" s="1241">
        <f>'OR04-分公司销售、承保、保全'!M30</f>
        <v>6</v>
      </c>
      <c r="I26" s="1242">
        <f>'OR04-分公司销售、承保、保全'!M30</f>
        <v>6</v>
      </c>
      <c r="J26" s="1244"/>
      <c r="K26" s="1279" t="s">
        <v>2186</v>
      </c>
      <c r="L26" s="1279"/>
      <c r="M26" s="1385"/>
    </row>
    <row r="27" spans="1:13" ht="14.25">
      <c r="A27" s="1448"/>
      <c r="B27" s="1456" t="s">
        <v>2268</v>
      </c>
      <c r="C27" s="1100"/>
      <c r="D27" s="1371"/>
      <c r="E27" s="1246"/>
      <c r="F27" s="1239">
        <f>'OR04-分公司销售、承保、保全'!L32*10</f>
        <v>1</v>
      </c>
      <c r="G27" s="1240">
        <v>0</v>
      </c>
      <c r="H27" s="1241">
        <v>0</v>
      </c>
      <c r="I27" s="1242">
        <v>0</v>
      </c>
      <c r="J27" s="1244"/>
      <c r="K27" s="1279" t="s">
        <v>2190</v>
      </c>
      <c r="L27" s="1279"/>
      <c r="M27" s="1385"/>
    </row>
    <row r="28" spans="1:13" ht="14.25">
      <c r="A28" s="1448"/>
      <c r="B28" s="1456"/>
      <c r="C28" s="1100">
        <f t="shared" si="3"/>
        <v>3.8888888888888883E-2</v>
      </c>
      <c r="D28" s="1371">
        <v>6</v>
      </c>
      <c r="E28" s="1246"/>
      <c r="F28" s="1239">
        <f>'OR04-分公司销售、承保、保全'!M32</f>
        <v>5.7</v>
      </c>
      <c r="G28" s="1240">
        <f>D28</f>
        <v>6</v>
      </c>
      <c r="H28" s="1241">
        <f>D28</f>
        <v>6</v>
      </c>
      <c r="I28" s="1242">
        <f>D28</f>
        <v>6</v>
      </c>
      <c r="J28" s="1243">
        <f>D28</f>
        <v>6</v>
      </c>
      <c r="K28" s="1279" t="s">
        <v>2186</v>
      </c>
      <c r="L28" s="1279"/>
      <c r="M28" s="1385"/>
    </row>
    <row r="29" spans="1:13" ht="14.25">
      <c r="A29" s="1448"/>
      <c r="B29" s="1369" t="s">
        <v>2262</v>
      </c>
      <c r="C29" s="1100">
        <f t="shared" si="3"/>
        <v>3.8888888888888883E-2</v>
      </c>
      <c r="D29" s="1371">
        <v>1</v>
      </c>
      <c r="E29" s="1367">
        <f>'OR04-分公司销售、承保、保全'!M34</f>
        <v>1</v>
      </c>
      <c r="F29" s="1251"/>
      <c r="G29" s="1251"/>
      <c r="H29" s="1251"/>
      <c r="I29" s="1251"/>
      <c r="J29" s="1265"/>
      <c r="K29" s="1279" t="s">
        <v>2186</v>
      </c>
      <c r="L29" s="1279"/>
      <c r="M29" s="1385"/>
    </row>
    <row r="30" spans="1:13" ht="14.25">
      <c r="A30" s="1448"/>
      <c r="B30" s="1369" t="s">
        <v>2309</v>
      </c>
      <c r="C30" s="1100">
        <f t="shared" ref="C30:C46" si="4">70%*(1/18)</f>
        <v>3.8888888888888883E-2</v>
      </c>
      <c r="D30" s="1371">
        <v>2</v>
      </c>
      <c r="E30" s="1367">
        <f>'OR04-分公司销售、承保、保全'!M35</f>
        <v>2</v>
      </c>
      <c r="F30" s="1250">
        <f>GETPIVOTDATA("平均值项:得分",犹豫期内电话回访成功率!$I$3,"渠道","个险")</f>
        <v>2</v>
      </c>
      <c r="G30" s="1251"/>
      <c r="H30" s="1228">
        <f>GETPIVOTDATA("平均值项:得分",犹豫期内电话回访成功率!$I$3,"渠道","银保")</f>
        <v>2</v>
      </c>
      <c r="I30" s="1229">
        <f>GETPIVOTDATA("平均值项:得分",犹豫期内电话回访成功率!$I$3,"渠道","多元")</f>
        <v>2</v>
      </c>
      <c r="J30" s="1230">
        <f>GETPIVOTDATA("平均值项:得分",犹豫期内电话回访成功率!$I$3,"渠道","续期")</f>
        <v>1.8</v>
      </c>
      <c r="K30" s="1279" t="s">
        <v>2186</v>
      </c>
      <c r="L30" s="1463" t="s">
        <v>2375</v>
      </c>
      <c r="M30" s="1464"/>
    </row>
    <row r="31" spans="1:13" ht="14.25">
      <c r="A31" s="1448"/>
      <c r="B31" s="1369" t="s">
        <v>2263</v>
      </c>
      <c r="C31" s="1100">
        <f t="shared" si="4"/>
        <v>3.8888888888888883E-2</v>
      </c>
      <c r="D31" s="1371">
        <v>2</v>
      </c>
      <c r="E31" s="1287">
        <f>'OR04-分公司销售、承保、保全'!M38</f>
        <v>1.5</v>
      </c>
      <c r="F31" s="1250">
        <f>GETPIVOTDATA("平均值项:得分",新契约回访完成率!$I$3,"渠道","个险")</f>
        <v>1.6</v>
      </c>
      <c r="G31" s="1251"/>
      <c r="H31" s="1228">
        <f>GETPIVOTDATA("平均值项:得分",犹豫期内电话回访成功率!$I$3,"渠道","银保")</f>
        <v>2</v>
      </c>
      <c r="I31" s="1229">
        <f>GETPIVOTDATA("平均值项:得分",犹豫期内电话回访成功率!$I$3,"渠道","多元")</f>
        <v>2</v>
      </c>
      <c r="J31" s="1230">
        <f>GETPIVOTDATA("平均值项:得分",犹豫期内电话回访成功率!$I$3,"渠道","续期")</f>
        <v>1.8</v>
      </c>
      <c r="K31" s="1279" t="s">
        <v>2186</v>
      </c>
      <c r="L31" s="1463" t="s">
        <v>2376</v>
      </c>
      <c r="M31" s="1464"/>
    </row>
    <row r="32" spans="1:13" ht="14.25">
      <c r="A32" s="1448"/>
      <c r="B32" s="1457" t="s">
        <v>2264</v>
      </c>
      <c r="C32" s="1100"/>
      <c r="D32" s="1371"/>
      <c r="E32" s="1249">
        <f>'OR04-分公司销售、承保、保全'!$L$43*10</f>
        <v>0</v>
      </c>
      <c r="F32" s="1227">
        <f>'OR04-分公司销售、承保、保全'!$L$43*10</f>
        <v>0</v>
      </c>
      <c r="G32" s="1227">
        <f>'OR04-分公司销售、承保、保全'!$L$43*10</f>
        <v>0</v>
      </c>
      <c r="H32" s="1228">
        <f>'OR04-分公司销售、承保、保全'!$L$43*10</f>
        <v>0</v>
      </c>
      <c r="I32" s="1229">
        <f>'OR04-分公司销售、承保、保全'!$L$43*10</f>
        <v>0</v>
      </c>
      <c r="J32" s="1230">
        <f>'OR04-分公司销售、承保、保全'!$L$43*10</f>
        <v>0</v>
      </c>
      <c r="K32" s="1279" t="s">
        <v>2190</v>
      </c>
      <c r="L32" s="1279"/>
      <c r="M32" s="1385"/>
    </row>
    <row r="33" spans="1:13" ht="14.25">
      <c r="A33" s="1448"/>
      <c r="B33" s="1457"/>
      <c r="C33" s="1100">
        <f t="shared" si="4"/>
        <v>3.8888888888888883E-2</v>
      </c>
      <c r="D33" s="1371">
        <v>6</v>
      </c>
      <c r="E33" s="1367">
        <f>'OR04-分公司销售、承保、保全'!M43</f>
        <v>6</v>
      </c>
      <c r="F33" s="1239">
        <f>'OR04-分公司销售、承保、保全'!M43</f>
        <v>6</v>
      </c>
      <c r="G33" s="1240">
        <f>'OR04-分公司销售、承保、保全'!M43</f>
        <v>6</v>
      </c>
      <c r="H33" s="1241">
        <f>'OR04-分公司销售、承保、保全'!M43</f>
        <v>6</v>
      </c>
      <c r="I33" s="1242">
        <f>'OR04-分公司销售、承保、保全'!M43</f>
        <v>6</v>
      </c>
      <c r="J33" s="1243">
        <f>'OR04-分公司销售、承保、保全'!M43</f>
        <v>6</v>
      </c>
      <c r="K33" s="1279" t="s">
        <v>2186</v>
      </c>
      <c r="L33" s="1279"/>
      <c r="M33" s="1385"/>
    </row>
    <row r="34" spans="1:13" ht="14.25">
      <c r="A34" s="1448"/>
      <c r="B34" s="1369" t="s">
        <v>2108</v>
      </c>
      <c r="C34" s="1100">
        <f t="shared" si="4"/>
        <v>3.8888888888888883E-2</v>
      </c>
      <c r="D34" s="1371">
        <v>3</v>
      </c>
      <c r="E34" s="1224"/>
      <c r="F34" s="1248">
        <f>GETPIVOTDATA("平均值项:得分",续期收费率!$G$5,"业务渠道","个险")</f>
        <v>2.5952380952380953</v>
      </c>
      <c r="G34" s="1351"/>
      <c r="H34" s="1352">
        <f>GETPIVOTDATA("平均值项:得分",续期收费率!$G$5,"业务渠道","银保")</f>
        <v>2.8382352941176472</v>
      </c>
      <c r="I34" s="1353">
        <f>GETPIVOTDATA("平均值项:得分",续期收费率!$G$5,"业务渠道","多元")</f>
        <v>2.9158878504672896</v>
      </c>
      <c r="J34" s="1354">
        <f>GETPIVOTDATA("平均值项:得分",续期收费率!$G$5,"业务渠道","收展")</f>
        <v>2.8359375</v>
      </c>
      <c r="K34" s="1279" t="s">
        <v>2186</v>
      </c>
      <c r="L34" s="1463" t="s">
        <v>2377</v>
      </c>
      <c r="M34" s="1464"/>
    </row>
    <row r="35" spans="1:13" ht="14.25">
      <c r="A35" s="1448"/>
      <c r="B35" s="1369" t="s">
        <v>1278</v>
      </c>
      <c r="C35" s="1100">
        <f t="shared" si="4"/>
        <v>3.8888888888888883E-2</v>
      </c>
      <c r="D35" s="1371">
        <v>2</v>
      </c>
      <c r="E35" s="1367">
        <f>'OR04-分公司销售、承保、保全'!M63</f>
        <v>2</v>
      </c>
      <c r="F35" s="1251"/>
      <c r="G35" s="1251"/>
      <c r="H35" s="1251"/>
      <c r="I35" s="1251"/>
      <c r="J35" s="1265"/>
      <c r="K35" s="1279" t="s">
        <v>2186</v>
      </c>
      <c r="L35" s="1279"/>
      <c r="M35" s="1385"/>
    </row>
    <row r="36" spans="1:13" ht="14.25">
      <c r="A36" s="1448"/>
      <c r="B36" s="1368" t="s">
        <v>2109</v>
      </c>
      <c r="C36" s="1100">
        <f t="shared" si="4"/>
        <v>3.8888888888888883E-2</v>
      </c>
      <c r="D36" s="1371">
        <v>3</v>
      </c>
      <c r="E36" s="1224"/>
      <c r="F36" s="1250">
        <f>退撤保率!G2</f>
        <v>3</v>
      </c>
      <c r="G36" s="1251"/>
      <c r="H36" s="1228">
        <f>退撤保率!G3</f>
        <v>0</v>
      </c>
      <c r="I36" s="1229">
        <f>退撤保率!G4</f>
        <v>3</v>
      </c>
      <c r="J36" s="1230">
        <f>退撤保率!G5</f>
        <v>3</v>
      </c>
      <c r="K36" s="1279" t="s">
        <v>2186</v>
      </c>
      <c r="L36" s="1463" t="s">
        <v>2379</v>
      </c>
      <c r="M36" s="1464"/>
    </row>
    <row r="37" spans="1:13" ht="14.25">
      <c r="A37" s="1448"/>
      <c r="B37" s="1369" t="s">
        <v>2270</v>
      </c>
      <c r="C37" s="1100">
        <f t="shared" si="4"/>
        <v>3.8888888888888883E-2</v>
      </c>
      <c r="D37" s="1371">
        <v>3</v>
      </c>
      <c r="E37" s="1224"/>
      <c r="F37" s="1239">
        <f>'OR04-分公司销售、承保、保全'!M57</f>
        <v>3</v>
      </c>
      <c r="G37" s="1240">
        <f>'OR04-分公司销售、承保、保全'!M57</f>
        <v>3</v>
      </c>
      <c r="H37" s="1241">
        <f>'OR04-分公司销售、承保、保全'!M57</f>
        <v>3</v>
      </c>
      <c r="I37" s="1242">
        <f>'OR04-分公司销售、承保、保全'!M57</f>
        <v>3</v>
      </c>
      <c r="J37" s="1243">
        <f>'OR04-分公司销售、承保、保全'!M57</f>
        <v>3</v>
      </c>
      <c r="K37" s="1279" t="s">
        <v>2186</v>
      </c>
      <c r="L37" s="1279"/>
      <c r="M37" s="1385"/>
    </row>
    <row r="38" spans="1:13" ht="14.25">
      <c r="A38" s="1448"/>
      <c r="B38" s="1369" t="s">
        <v>1299</v>
      </c>
      <c r="C38" s="1100">
        <f t="shared" si="4"/>
        <v>3.8888888888888883E-2</v>
      </c>
      <c r="D38" s="1371">
        <v>2</v>
      </c>
      <c r="E38" s="1367">
        <f>'OR04-分公司销售、承保、保全'!M63</f>
        <v>2</v>
      </c>
      <c r="F38" s="1251"/>
      <c r="G38" s="1251"/>
      <c r="H38" s="1251"/>
      <c r="I38" s="1251"/>
      <c r="J38" s="1265"/>
      <c r="K38" s="1279" t="s">
        <v>2186</v>
      </c>
      <c r="L38" s="1279"/>
      <c r="M38" s="1385"/>
    </row>
    <row r="39" spans="1:13" ht="14.25">
      <c r="A39" s="1448"/>
      <c r="B39" s="1369" t="s">
        <v>1305</v>
      </c>
      <c r="C39" s="1100">
        <f t="shared" si="4"/>
        <v>3.8888888888888883E-2</v>
      </c>
      <c r="D39" s="1371">
        <v>1</v>
      </c>
      <c r="E39" s="1367">
        <f>'OR04-分公司销售、承保、保全'!M66</f>
        <v>1</v>
      </c>
      <c r="F39" s="1251"/>
      <c r="G39" s="1251"/>
      <c r="H39" s="1251"/>
      <c r="I39" s="1251"/>
      <c r="J39" s="1265"/>
      <c r="K39" s="1279" t="s">
        <v>2186</v>
      </c>
      <c r="L39" s="1279"/>
      <c r="M39" s="1385"/>
    </row>
    <row r="40" spans="1:13" ht="14.25">
      <c r="A40" s="1448"/>
      <c r="B40" s="1457" t="s">
        <v>2265</v>
      </c>
      <c r="C40" s="1100"/>
      <c r="D40" s="1371"/>
      <c r="E40" s="1367">
        <f>'OR04-分公司销售、承保、保全'!L67*10</f>
        <v>0</v>
      </c>
      <c r="F40" s="1251"/>
      <c r="G40" s="1251"/>
      <c r="H40" s="1251"/>
      <c r="I40" s="1251"/>
      <c r="J40" s="1265"/>
      <c r="K40" s="1279" t="s">
        <v>2186</v>
      </c>
      <c r="L40" s="1279"/>
      <c r="M40" s="1385"/>
    </row>
    <row r="41" spans="1:13" ht="14.25">
      <c r="A41" s="1448"/>
      <c r="B41" s="1457"/>
      <c r="C41" s="1100">
        <f t="shared" si="4"/>
        <v>3.8888888888888883E-2</v>
      </c>
      <c r="D41" s="1371">
        <v>6</v>
      </c>
      <c r="E41" s="1367">
        <f>'OR04-分公司销售、承保、保全'!M67</f>
        <v>6</v>
      </c>
      <c r="F41" s="1251"/>
      <c r="G41" s="1251"/>
      <c r="H41" s="1251"/>
      <c r="I41" s="1251"/>
      <c r="J41" s="1265"/>
      <c r="K41" s="1279" t="s">
        <v>2186</v>
      </c>
      <c r="L41" s="1279"/>
      <c r="M41" s="1385"/>
    </row>
    <row r="42" spans="1:13" ht="14.25">
      <c r="A42" s="1448"/>
      <c r="B42" s="1369" t="s">
        <v>2267</v>
      </c>
      <c r="C42" s="1100">
        <f t="shared" si="4"/>
        <v>3.8888888888888883E-2</v>
      </c>
      <c r="D42" s="1371">
        <v>0</v>
      </c>
      <c r="E42" s="1253">
        <v>0</v>
      </c>
      <c r="F42" s="1254">
        <v>0</v>
      </c>
      <c r="G42" s="1255">
        <v>0</v>
      </c>
      <c r="H42" s="1256">
        <v>0</v>
      </c>
      <c r="I42" s="1257">
        <v>0</v>
      </c>
      <c r="J42" s="1258">
        <v>0</v>
      </c>
      <c r="K42" s="1279" t="s">
        <v>2193</v>
      </c>
      <c r="L42" s="1279"/>
      <c r="M42" s="1385"/>
    </row>
    <row r="43" spans="1:13" ht="14.25">
      <c r="A43" s="1448"/>
      <c r="B43" s="1454" t="s">
        <v>1316</v>
      </c>
      <c r="C43" s="1100"/>
      <c r="D43" s="1371"/>
      <c r="E43" s="1249">
        <f>'OR04-分公司销售、承保、保全'!$L$70*10</f>
        <v>0</v>
      </c>
      <c r="F43" s="1250">
        <f>'OR04-分公司销售、承保、保全'!$L$70*10</f>
        <v>0</v>
      </c>
      <c r="G43" s="1227">
        <f>'OR04-分公司销售、承保、保全'!$L$70*10</f>
        <v>0</v>
      </c>
      <c r="H43" s="1228">
        <f>'OR04-分公司销售、承保、保全'!$L$70*10</f>
        <v>0</v>
      </c>
      <c r="I43" s="1229">
        <f>'OR04-分公司销售、承保、保全'!$L$70*10</f>
        <v>0</v>
      </c>
      <c r="J43" s="1230">
        <f>'OR04-分公司销售、承保、保全'!$L$70*10</f>
        <v>0</v>
      </c>
      <c r="K43" s="1279" t="s">
        <v>2308</v>
      </c>
      <c r="L43" s="1279"/>
      <c r="M43" s="1385"/>
    </row>
    <row r="44" spans="1:13" ht="14.25">
      <c r="A44" s="1448"/>
      <c r="B44" s="1454"/>
      <c r="C44" s="1100">
        <f t="shared" si="4"/>
        <v>3.8888888888888883E-2</v>
      </c>
      <c r="D44" s="1371">
        <v>3</v>
      </c>
      <c r="E44" s="1367">
        <f>'OR04-分公司销售、承保、保全'!M70</f>
        <v>3</v>
      </c>
      <c r="F44" s="1239">
        <f>'OR04-分公司销售、承保、保全'!M70</f>
        <v>3</v>
      </c>
      <c r="G44" s="1240">
        <f>'OR04-分公司销售、承保、保全'!M70</f>
        <v>3</v>
      </c>
      <c r="H44" s="1241">
        <f>'OR04-分公司销售、承保、保全'!M70</f>
        <v>3</v>
      </c>
      <c r="I44" s="1242">
        <f>'OR04-分公司销售、承保、保全'!M70</f>
        <v>3</v>
      </c>
      <c r="J44" s="1243">
        <f>'OR04-分公司销售、承保、保全'!M70</f>
        <v>3</v>
      </c>
      <c r="K44" s="1279" t="s">
        <v>2186</v>
      </c>
      <c r="L44" s="1279"/>
      <c r="M44" s="1385"/>
    </row>
    <row r="45" spans="1:13" ht="14.25">
      <c r="A45" s="1448"/>
      <c r="B45" s="1370" t="s">
        <v>2271</v>
      </c>
      <c r="C45" s="1100">
        <f t="shared" si="4"/>
        <v>3.8888888888888883E-2</v>
      </c>
      <c r="D45" s="1371">
        <v>2</v>
      </c>
      <c r="E45" s="1246"/>
      <c r="F45" s="1239">
        <f>'OR04-分公司销售、承保、保全'!M72</f>
        <v>2</v>
      </c>
      <c r="G45" s="1240">
        <f>'OR04-分公司销售、承保、保全'!M72</f>
        <v>2</v>
      </c>
      <c r="H45" s="1241">
        <f>'OR04-分公司销售、承保、保全'!M72</f>
        <v>2</v>
      </c>
      <c r="I45" s="1242">
        <f>'OR04-分公司销售、承保、保全'!M72</f>
        <v>2</v>
      </c>
      <c r="J45" s="1243">
        <f>'OR04-分公司销售、承保、保全'!M72</f>
        <v>2</v>
      </c>
      <c r="K45" s="1279" t="s">
        <v>2186</v>
      </c>
      <c r="L45" s="1279"/>
      <c r="M45" s="1385"/>
    </row>
    <row r="46" spans="1:13" ht="15" thickBot="1">
      <c r="A46" s="1449"/>
      <c r="B46" s="1400" t="s">
        <v>2266</v>
      </c>
      <c r="C46" s="1124">
        <f t="shared" si="4"/>
        <v>3.8888888888888883E-2</v>
      </c>
      <c r="D46" s="1182">
        <v>10</v>
      </c>
      <c r="E46" s="1401">
        <f>MAX(10-1*(E23+E25+E27+E32+E43+E40),0)</f>
        <v>10</v>
      </c>
      <c r="F46" s="1252">
        <f>MAX(10-1*(F23+F25+F27+F32+F43+F40),0)</f>
        <v>0</v>
      </c>
      <c r="G46" s="1402">
        <f>MAX(10-1*(G23+G25+G27+G32+G43+G40),0)</f>
        <v>10</v>
      </c>
      <c r="H46" s="1403">
        <f t="shared" ref="H46:J46" si="5">MAX(10-1*(H23+H25+H27+H32+H43+H40),0)</f>
        <v>10</v>
      </c>
      <c r="I46" s="1404">
        <f t="shared" si="5"/>
        <v>10</v>
      </c>
      <c r="J46" s="1405">
        <f t="shared" si="5"/>
        <v>10</v>
      </c>
      <c r="K46" s="1399" t="s">
        <v>2192</v>
      </c>
      <c r="L46" s="1399"/>
      <c r="M46" s="1386"/>
    </row>
    <row r="47" spans="1:13" ht="14.25">
      <c r="A47" s="1451" t="s">
        <v>2273</v>
      </c>
      <c r="B47" s="1187" t="s">
        <v>2274</v>
      </c>
      <c r="C47" s="1121">
        <f t="shared" si="0"/>
        <v>1.6666666666666666E-2</v>
      </c>
      <c r="D47" s="1181">
        <v>10</v>
      </c>
      <c r="E47" s="1238">
        <f>'OR06-理赔保全'!K4*D47</f>
        <v>8.75</v>
      </c>
      <c r="F47" s="1355"/>
      <c r="G47" s="1355"/>
      <c r="H47" s="1355"/>
      <c r="I47" s="1355"/>
      <c r="J47" s="1356"/>
      <c r="K47" s="1395" t="s">
        <v>2186</v>
      </c>
      <c r="L47" s="1395"/>
      <c r="M47" s="1384"/>
    </row>
    <row r="48" spans="1:13" ht="28.5">
      <c r="A48" s="1452"/>
      <c r="B48" s="1179" t="s">
        <v>2275</v>
      </c>
      <c r="C48" s="1100">
        <f t="shared" si="0"/>
        <v>1.6666666666666666E-2</v>
      </c>
      <c r="D48" s="1371">
        <v>10</v>
      </c>
      <c r="E48" s="1263">
        <f>'OR06-理赔保全'!K7*D48</f>
        <v>5.9090909090909092</v>
      </c>
      <c r="F48" s="1251"/>
      <c r="G48" s="1251"/>
      <c r="H48" s="1251"/>
      <c r="I48" s="1251"/>
      <c r="J48" s="1265"/>
      <c r="K48" s="1279" t="s">
        <v>2186</v>
      </c>
      <c r="L48" s="1279"/>
      <c r="M48" s="1385"/>
    </row>
    <row r="49" spans="1:13" ht="14.25">
      <c r="A49" s="1452"/>
      <c r="B49" s="1179" t="s">
        <v>2276</v>
      </c>
      <c r="C49" s="1100">
        <f t="shared" si="0"/>
        <v>1.6666666666666666E-2</v>
      </c>
      <c r="D49" s="1371">
        <v>4</v>
      </c>
      <c r="E49" s="1249">
        <f>IF('OR06-理赔保全'!K11&lt;M49,D49,4*(1-'OR06-理赔保全'!K11))</f>
        <v>4</v>
      </c>
      <c r="F49" s="1251"/>
      <c r="G49" s="1251"/>
      <c r="H49" s="1251"/>
      <c r="I49" s="1251"/>
      <c r="J49" s="1265"/>
      <c r="K49" s="1279" t="s">
        <v>2192</v>
      </c>
      <c r="L49" s="1279" t="s">
        <v>2300</v>
      </c>
      <c r="M49" s="1385">
        <v>0.8</v>
      </c>
    </row>
    <row r="50" spans="1:13" ht="14.25">
      <c r="A50" s="1452"/>
      <c r="B50" s="1179" t="s">
        <v>2277</v>
      </c>
      <c r="C50" s="1100">
        <f t="shared" si="0"/>
        <v>1.6666666666666666E-2</v>
      </c>
      <c r="D50" s="1371">
        <v>6</v>
      </c>
      <c r="E50" s="1249">
        <f>IF('OR06-理赔保全'!K12&lt;M50,D50,4*(1-'OR06-理赔保全'!K12))</f>
        <v>6</v>
      </c>
      <c r="F50" s="1251"/>
      <c r="G50" s="1251"/>
      <c r="H50" s="1251"/>
      <c r="I50" s="1251"/>
      <c r="J50" s="1265"/>
      <c r="K50" s="1279" t="s">
        <v>2192</v>
      </c>
      <c r="L50" s="1279" t="s">
        <v>2300</v>
      </c>
      <c r="M50" s="1385">
        <v>0.5</v>
      </c>
    </row>
    <row r="51" spans="1:13" ht="14.25">
      <c r="A51" s="1452"/>
      <c r="B51" s="1179" t="s">
        <v>2278</v>
      </c>
      <c r="C51" s="1100">
        <f t="shared" si="0"/>
        <v>1.6666666666666666E-2</v>
      </c>
      <c r="D51" s="1371">
        <v>10</v>
      </c>
      <c r="E51" s="1249">
        <f>IF('OR06-理赔保全'!K13&lt;M51,D51,4*(1-'OR06-理赔保全'!K13))</f>
        <v>10</v>
      </c>
      <c r="F51" s="1251"/>
      <c r="G51" s="1251"/>
      <c r="H51" s="1251"/>
      <c r="I51" s="1251"/>
      <c r="J51" s="1265"/>
      <c r="K51" s="1279" t="s">
        <v>2192</v>
      </c>
      <c r="L51" s="1279" t="s">
        <v>2300</v>
      </c>
      <c r="M51" s="1385">
        <v>0.3</v>
      </c>
    </row>
    <row r="52" spans="1:13" ht="14.25">
      <c r="A52" s="1452"/>
      <c r="B52" s="1179" t="s">
        <v>2279</v>
      </c>
      <c r="C52" s="1100">
        <f t="shared" si="0"/>
        <v>1.6666666666666666E-2</v>
      </c>
      <c r="D52" s="1371">
        <v>7</v>
      </c>
      <c r="E52" s="1249">
        <f>IF('OR06-理赔保全'!K14&lt;M52,D52,4*(1-'OR06-理赔保全'!K14))</f>
        <v>7</v>
      </c>
      <c r="F52" s="1251"/>
      <c r="G52" s="1251"/>
      <c r="H52" s="1251"/>
      <c r="I52" s="1251"/>
      <c r="J52" s="1265"/>
      <c r="K52" s="1279" t="s">
        <v>2192</v>
      </c>
      <c r="L52" s="1279" t="s">
        <v>2300</v>
      </c>
      <c r="M52" s="1385">
        <v>5</v>
      </c>
    </row>
    <row r="53" spans="1:13" ht="28.5">
      <c r="A53" s="1452"/>
      <c r="B53" s="1179" t="s">
        <v>568</v>
      </c>
      <c r="C53" s="1100">
        <f t="shared" si="0"/>
        <v>1.6666666666666666E-2</v>
      </c>
      <c r="D53" s="1371">
        <v>8</v>
      </c>
      <c r="E53" s="1367">
        <f>'OR06-理赔保全'!M15</f>
        <v>8</v>
      </c>
      <c r="F53" s="1251"/>
      <c r="G53" s="1251"/>
      <c r="H53" s="1251"/>
      <c r="I53" s="1251"/>
      <c r="J53" s="1265"/>
      <c r="K53" s="1279" t="s">
        <v>2186</v>
      </c>
      <c r="L53" s="1279"/>
      <c r="M53" s="1385"/>
    </row>
    <row r="54" spans="1:13" ht="14.25">
      <c r="A54" s="1452"/>
      <c r="B54" s="1179" t="s">
        <v>569</v>
      </c>
      <c r="C54" s="1100">
        <f t="shared" si="0"/>
        <v>1.6666666666666666E-2</v>
      </c>
      <c r="D54" s="1371">
        <v>5</v>
      </c>
      <c r="E54" s="1367">
        <f>'OR06-理赔保全'!M16</f>
        <v>5</v>
      </c>
      <c r="F54" s="1251"/>
      <c r="G54" s="1251"/>
      <c r="H54" s="1251"/>
      <c r="I54" s="1251"/>
      <c r="J54" s="1265"/>
      <c r="K54" s="1279" t="s">
        <v>2186</v>
      </c>
      <c r="L54" s="1279"/>
      <c r="M54" s="1385"/>
    </row>
    <row r="55" spans="1:13" ht="14.25">
      <c r="A55" s="1452"/>
      <c r="B55" s="1179" t="s">
        <v>570</v>
      </c>
      <c r="C55" s="1100">
        <f t="shared" si="0"/>
        <v>1.6666666666666666E-2</v>
      </c>
      <c r="D55" s="1371">
        <v>5</v>
      </c>
      <c r="E55" s="1367">
        <f>'OR06-理赔保全'!M17</f>
        <v>5</v>
      </c>
      <c r="F55" s="1251"/>
      <c r="G55" s="1251"/>
      <c r="H55" s="1251"/>
      <c r="I55" s="1251"/>
      <c r="J55" s="1265"/>
      <c r="K55" s="1279" t="s">
        <v>2186</v>
      </c>
      <c r="L55" s="1279"/>
      <c r="M55" s="1385"/>
    </row>
    <row r="56" spans="1:13" ht="15" thickBot="1">
      <c r="A56" s="1453"/>
      <c r="B56" s="1184" t="s">
        <v>2280</v>
      </c>
      <c r="C56" s="1124">
        <f t="shared" si="0"/>
        <v>1.6666666666666666E-2</v>
      </c>
      <c r="D56" s="1182">
        <v>12</v>
      </c>
      <c r="E56" s="1406">
        <f>'OR06-理赔保全'!M21</f>
        <v>12</v>
      </c>
      <c r="F56" s="1407"/>
      <c r="G56" s="1407"/>
      <c r="H56" s="1407"/>
      <c r="I56" s="1407"/>
      <c r="J56" s="1408"/>
      <c r="K56" s="1399" t="s">
        <v>2186</v>
      </c>
      <c r="L56" s="1399"/>
      <c r="M56" s="1386"/>
    </row>
    <row r="57" spans="1:13" ht="14.25">
      <c r="A57" s="1451" t="s">
        <v>2290</v>
      </c>
      <c r="B57" s="1186" t="s">
        <v>2154</v>
      </c>
      <c r="C57" s="1121">
        <f t="shared" ref="C57:C77" si="6">70%*(1/18)</f>
        <v>3.8888888888888883E-2</v>
      </c>
      <c r="D57" s="1181">
        <v>5</v>
      </c>
      <c r="E57" s="1238">
        <f>D57</f>
        <v>5</v>
      </c>
      <c r="F57" s="1355"/>
      <c r="G57" s="1355"/>
      <c r="H57" s="1355"/>
      <c r="I57" s="1355"/>
      <c r="J57" s="1356"/>
      <c r="K57" s="1395" t="s">
        <v>2378</v>
      </c>
      <c r="L57" s="1395"/>
      <c r="M57" s="1384"/>
    </row>
    <row r="58" spans="1:13" ht="14.25">
      <c r="A58" s="1452"/>
      <c r="B58" s="1370" t="s">
        <v>2155</v>
      </c>
      <c r="C58" s="1100">
        <f t="shared" si="6"/>
        <v>3.8888888888888883E-2</v>
      </c>
      <c r="D58" s="1371">
        <v>3</v>
      </c>
      <c r="E58" s="1367">
        <f>'OR08-分公司理赔'!M7</f>
        <v>2.7</v>
      </c>
      <c r="F58" s="1251"/>
      <c r="G58" s="1251"/>
      <c r="H58" s="1251"/>
      <c r="I58" s="1251"/>
      <c r="J58" s="1265"/>
      <c r="K58" s="1279" t="s">
        <v>2186</v>
      </c>
      <c r="L58" s="1279"/>
      <c r="M58" s="1385"/>
    </row>
    <row r="59" spans="1:13" ht="14.25">
      <c r="A59" s="1452"/>
      <c r="B59" s="1370" t="s">
        <v>1222</v>
      </c>
      <c r="C59" s="1100">
        <f t="shared" si="6"/>
        <v>3.8888888888888883E-2</v>
      </c>
      <c r="D59" s="1371">
        <v>3</v>
      </c>
      <c r="E59" s="1367">
        <f>'OR08-分公司理赔'!M11</f>
        <v>3</v>
      </c>
      <c r="F59" s="1251"/>
      <c r="G59" s="1251"/>
      <c r="H59" s="1251"/>
      <c r="I59" s="1251"/>
      <c r="J59" s="1265"/>
      <c r="K59" s="1279" t="s">
        <v>2186</v>
      </c>
      <c r="L59" s="1279"/>
      <c r="M59" s="1385"/>
    </row>
    <row r="60" spans="1:13" ht="14.25">
      <c r="A60" s="1452"/>
      <c r="B60" s="1370" t="s">
        <v>158</v>
      </c>
      <c r="C60" s="1100">
        <f t="shared" si="6"/>
        <v>3.8888888888888883E-2</v>
      </c>
      <c r="D60" s="1371">
        <v>4</v>
      </c>
      <c r="E60" s="1367">
        <f>'OR08-分公司理赔'!M12</f>
        <v>4</v>
      </c>
      <c r="F60" s="1251"/>
      <c r="G60" s="1251"/>
      <c r="H60" s="1251"/>
      <c r="I60" s="1251"/>
      <c r="J60" s="1265"/>
      <c r="K60" s="1279" t="s">
        <v>2186</v>
      </c>
      <c r="L60" s="1279"/>
      <c r="M60" s="1385"/>
    </row>
    <row r="61" spans="1:13" ht="14.25">
      <c r="A61" s="1452"/>
      <c r="B61" s="1370" t="s">
        <v>1342</v>
      </c>
      <c r="C61" s="1100">
        <f t="shared" si="6"/>
        <v>3.8888888888888883E-2</v>
      </c>
      <c r="D61" s="1371">
        <v>6</v>
      </c>
      <c r="E61" s="1367">
        <f>'OR08-分公司理赔'!M13</f>
        <v>6</v>
      </c>
      <c r="F61" s="1251"/>
      <c r="G61" s="1251"/>
      <c r="H61" s="1251"/>
      <c r="I61" s="1251"/>
      <c r="J61" s="1265"/>
      <c r="K61" s="1279" t="s">
        <v>2186</v>
      </c>
      <c r="L61" s="1279"/>
      <c r="M61" s="1385"/>
    </row>
    <row r="62" spans="1:13" ht="14.25">
      <c r="A62" s="1452"/>
      <c r="B62" s="1370" t="s">
        <v>2286</v>
      </c>
      <c r="C62" s="1100">
        <f t="shared" si="6"/>
        <v>3.8888888888888883E-2</v>
      </c>
      <c r="D62" s="1371">
        <v>8</v>
      </c>
      <c r="E62" s="1367">
        <f>IF('OR08-分公司理赔'!L16&lt;M62,D62,8*(1-'OR08-分公司理赔'!L16))</f>
        <v>8</v>
      </c>
      <c r="F62" s="1251"/>
      <c r="G62" s="1251"/>
      <c r="H62" s="1251"/>
      <c r="I62" s="1251"/>
      <c r="J62" s="1265"/>
      <c r="K62" s="1279" t="s">
        <v>2192</v>
      </c>
      <c r="L62" s="1279" t="s">
        <v>2300</v>
      </c>
      <c r="M62" s="1385">
        <v>0.5</v>
      </c>
    </row>
    <row r="63" spans="1:13" ht="14.25">
      <c r="A63" s="1452"/>
      <c r="B63" s="1185" t="s">
        <v>1354</v>
      </c>
      <c r="C63" s="1100">
        <f t="shared" si="6"/>
        <v>3.8888888888888883E-2</v>
      </c>
      <c r="D63" s="1371">
        <v>6</v>
      </c>
      <c r="E63" s="1367">
        <f>'OR08-分公司理赔'!M19</f>
        <v>6</v>
      </c>
      <c r="F63" s="1251"/>
      <c r="G63" s="1251"/>
      <c r="H63" s="1251"/>
      <c r="I63" s="1251"/>
      <c r="J63" s="1265"/>
      <c r="K63" s="1279" t="s">
        <v>2186</v>
      </c>
      <c r="L63" s="1279"/>
      <c r="M63" s="1385"/>
    </row>
    <row r="64" spans="1:13" ht="14.25">
      <c r="A64" s="1452"/>
      <c r="B64" s="1185" t="s">
        <v>2157</v>
      </c>
      <c r="C64" s="1100">
        <f t="shared" si="6"/>
        <v>3.8888888888888883E-2</v>
      </c>
      <c r="D64" s="1371">
        <v>4</v>
      </c>
      <c r="E64" s="1367">
        <f>'OR08-分公司理赔'!M22</f>
        <v>4</v>
      </c>
      <c r="F64" s="1251"/>
      <c r="G64" s="1251"/>
      <c r="H64" s="1251"/>
      <c r="I64" s="1251"/>
      <c r="J64" s="1265"/>
      <c r="K64" s="1279" t="s">
        <v>2186</v>
      </c>
      <c r="L64" s="1279"/>
      <c r="M64" s="1385"/>
    </row>
    <row r="65" spans="1:13" ht="14.25">
      <c r="A65" s="1452"/>
      <c r="B65" s="20" t="s">
        <v>1362</v>
      </c>
      <c r="C65" s="1100">
        <f t="shared" si="6"/>
        <v>3.8888888888888883E-2</v>
      </c>
      <c r="D65" s="1450">
        <v>4</v>
      </c>
      <c r="E65" s="1465">
        <f>'OR08-分公司理赔'!M25</f>
        <v>4</v>
      </c>
      <c r="F65" s="1251"/>
      <c r="G65" s="1251"/>
      <c r="H65" s="1251"/>
      <c r="I65" s="1251"/>
      <c r="J65" s="1265"/>
      <c r="K65" s="1279" t="s">
        <v>2186</v>
      </c>
      <c r="L65" s="1279"/>
      <c r="M65" s="1385"/>
    </row>
    <row r="66" spans="1:13" ht="14.25">
      <c r="A66" s="1452"/>
      <c r="B66" s="20" t="s">
        <v>1365</v>
      </c>
      <c r="C66" s="1100">
        <f t="shared" si="6"/>
        <v>3.8888888888888883E-2</v>
      </c>
      <c r="D66" s="1450"/>
      <c r="E66" s="1465"/>
      <c r="F66" s="1251"/>
      <c r="G66" s="1251"/>
      <c r="H66" s="1251"/>
      <c r="I66" s="1251"/>
      <c r="J66" s="1265"/>
      <c r="K66" s="1279" t="s">
        <v>2186</v>
      </c>
      <c r="L66" s="1279"/>
      <c r="M66" s="1385"/>
    </row>
    <row r="67" spans="1:13" ht="14.25">
      <c r="A67" s="1452"/>
      <c r="B67" s="20" t="s">
        <v>1366</v>
      </c>
      <c r="C67" s="1100">
        <f t="shared" si="6"/>
        <v>3.8888888888888883E-2</v>
      </c>
      <c r="D67" s="1450"/>
      <c r="E67" s="1465"/>
      <c r="F67" s="1251"/>
      <c r="G67" s="1251"/>
      <c r="H67" s="1251"/>
      <c r="I67" s="1251"/>
      <c r="J67" s="1265"/>
      <c r="K67" s="1279" t="s">
        <v>2186</v>
      </c>
      <c r="L67" s="1279"/>
      <c r="M67" s="1385"/>
    </row>
    <row r="68" spans="1:13" ht="14.25">
      <c r="A68" s="1452"/>
      <c r="B68" s="20" t="s">
        <v>1367</v>
      </c>
      <c r="C68" s="1100">
        <f t="shared" si="6"/>
        <v>3.8888888888888883E-2</v>
      </c>
      <c r="D68" s="1450"/>
      <c r="E68" s="1465"/>
      <c r="F68" s="1251"/>
      <c r="G68" s="1251"/>
      <c r="H68" s="1251"/>
      <c r="I68" s="1251"/>
      <c r="J68" s="1265"/>
      <c r="K68" s="1279" t="s">
        <v>2186</v>
      </c>
      <c r="L68" s="1279"/>
      <c r="M68" s="1385"/>
    </row>
    <row r="69" spans="1:13" ht="14.25">
      <c r="A69" s="1452"/>
      <c r="B69" s="1454" t="s">
        <v>2287</v>
      </c>
      <c r="C69" s="1100"/>
      <c r="D69" s="1371"/>
      <c r="E69" s="1367">
        <f>'OR08-分公司理赔'!L29</f>
        <v>0</v>
      </c>
      <c r="F69" s="1251"/>
      <c r="G69" s="1251"/>
      <c r="H69" s="1251"/>
      <c r="I69" s="1251"/>
      <c r="J69" s="1265"/>
      <c r="K69" s="1279" t="s">
        <v>2190</v>
      </c>
      <c r="L69" s="1279"/>
      <c r="M69" s="1385"/>
    </row>
    <row r="70" spans="1:13" ht="14.25">
      <c r="A70" s="1452"/>
      <c r="B70" s="1454"/>
      <c r="C70" s="1100">
        <f t="shared" si="6"/>
        <v>3.8888888888888883E-2</v>
      </c>
      <c r="D70" s="1371">
        <v>20</v>
      </c>
      <c r="E70" s="1367">
        <f>'OR08-分公司理赔'!M29</f>
        <v>20</v>
      </c>
      <c r="F70" s="1251"/>
      <c r="G70" s="1251"/>
      <c r="H70" s="1251"/>
      <c r="I70" s="1251"/>
      <c r="J70" s="1265"/>
      <c r="K70" s="1279" t="s">
        <v>2186</v>
      </c>
      <c r="L70" s="1279"/>
      <c r="M70" s="1385"/>
    </row>
    <row r="71" spans="1:13" ht="14.25">
      <c r="A71" s="1452"/>
      <c r="B71" s="1454" t="s">
        <v>2288</v>
      </c>
      <c r="C71" s="1100"/>
      <c r="D71" s="1371"/>
      <c r="E71" s="1367">
        <f>'OR08-分公司理赔'!L31</f>
        <v>0</v>
      </c>
      <c r="F71" s="1251"/>
      <c r="G71" s="1251"/>
      <c r="H71" s="1251"/>
      <c r="I71" s="1251"/>
      <c r="J71" s="1265"/>
      <c r="K71" s="1279" t="s">
        <v>2190</v>
      </c>
      <c r="L71" s="1279"/>
      <c r="M71" s="1385"/>
    </row>
    <row r="72" spans="1:13" ht="14.25">
      <c r="A72" s="1452"/>
      <c r="B72" s="1454"/>
      <c r="C72" s="1100">
        <f t="shared" si="6"/>
        <v>3.8888888888888883E-2</v>
      </c>
      <c r="D72" s="1371">
        <v>12</v>
      </c>
      <c r="E72" s="1367">
        <f>'OR08-分公司理赔'!M31</f>
        <v>12</v>
      </c>
      <c r="F72" s="1251"/>
      <c r="G72" s="1251"/>
      <c r="H72" s="1251"/>
      <c r="I72" s="1251"/>
      <c r="J72" s="1265"/>
      <c r="K72" s="1279" t="s">
        <v>2186</v>
      </c>
      <c r="L72" s="1279"/>
      <c r="M72" s="1385"/>
    </row>
    <row r="73" spans="1:13" ht="14.25">
      <c r="A73" s="1452"/>
      <c r="B73" s="20" t="s">
        <v>1373</v>
      </c>
      <c r="C73" s="1100">
        <f t="shared" si="6"/>
        <v>3.8888888888888883E-2</v>
      </c>
      <c r="D73" s="1371">
        <v>0</v>
      </c>
      <c r="E73" s="1264">
        <v>0</v>
      </c>
      <c r="F73" s="1251"/>
      <c r="G73" s="1251"/>
      <c r="H73" s="1251"/>
      <c r="I73" s="1251"/>
      <c r="J73" s="1265"/>
      <c r="K73" s="1279" t="s">
        <v>2193</v>
      </c>
      <c r="L73" s="1279"/>
      <c r="M73" s="1385"/>
    </row>
    <row r="74" spans="1:13" ht="14.25">
      <c r="A74" s="1452"/>
      <c r="B74" s="1179" t="s">
        <v>1316</v>
      </c>
      <c r="C74" s="1100">
        <f t="shared" si="6"/>
        <v>3.8888888888888883E-2</v>
      </c>
      <c r="D74" s="1371">
        <v>2</v>
      </c>
      <c r="E74" s="1367">
        <f>'OR08-分公司理赔'!M34</f>
        <v>2</v>
      </c>
      <c r="F74" s="1251"/>
      <c r="G74" s="1251"/>
      <c r="H74" s="1251"/>
      <c r="I74" s="1251"/>
      <c r="J74" s="1265"/>
      <c r="K74" s="1279" t="s">
        <v>2186</v>
      </c>
      <c r="L74" s="1279"/>
      <c r="M74" s="1385"/>
    </row>
    <row r="75" spans="1:13" ht="14.25">
      <c r="A75" s="1452"/>
      <c r="B75" s="20" t="s">
        <v>1377</v>
      </c>
      <c r="C75" s="1100">
        <f t="shared" si="6"/>
        <v>3.8888888888888883E-2</v>
      </c>
      <c r="D75" s="1371">
        <v>2</v>
      </c>
      <c r="E75" s="1367">
        <f>'OR08-分公司理赔'!M36</f>
        <v>2</v>
      </c>
      <c r="F75" s="1251"/>
      <c r="G75" s="1251"/>
      <c r="H75" s="1251"/>
      <c r="I75" s="1251"/>
      <c r="J75" s="1265"/>
      <c r="K75" s="1279" t="s">
        <v>2186</v>
      </c>
      <c r="L75" s="1279"/>
      <c r="M75" s="1385"/>
    </row>
    <row r="76" spans="1:13" ht="14.25">
      <c r="A76" s="1452"/>
      <c r="B76" s="20" t="s">
        <v>1381</v>
      </c>
      <c r="C76" s="1100">
        <f t="shared" si="6"/>
        <v>3.8888888888888883E-2</v>
      </c>
      <c r="D76" s="1371">
        <v>1</v>
      </c>
      <c r="E76" s="1367">
        <f>'OR08-分公司理赔'!M37</f>
        <v>1</v>
      </c>
      <c r="F76" s="1251"/>
      <c r="G76" s="1251"/>
      <c r="H76" s="1251"/>
      <c r="I76" s="1251"/>
      <c r="J76" s="1265"/>
      <c r="K76" s="1279" t="s">
        <v>2186</v>
      </c>
      <c r="L76" s="1279"/>
      <c r="M76" s="1385"/>
    </row>
    <row r="77" spans="1:13" ht="15" thickBot="1">
      <c r="A77" s="1453"/>
      <c r="B77" s="1123" t="s">
        <v>2289</v>
      </c>
      <c r="C77" s="1124">
        <f t="shared" si="6"/>
        <v>3.8888888888888883E-2</v>
      </c>
      <c r="D77" s="1182">
        <v>10</v>
      </c>
      <c r="E77" s="1406">
        <f>MAX(10-1*(E69+E71),0)</f>
        <v>10</v>
      </c>
      <c r="F77" s="1407"/>
      <c r="G77" s="1407"/>
      <c r="H77" s="1407"/>
      <c r="I77" s="1407"/>
      <c r="J77" s="1408"/>
      <c r="K77" s="1399" t="s">
        <v>2192</v>
      </c>
      <c r="L77" s="1399"/>
      <c r="M77" s="1386"/>
    </row>
    <row r="78" spans="1:13" ht="14.25">
      <c r="A78" s="1451" t="s">
        <v>2295</v>
      </c>
      <c r="B78" s="1187" t="s">
        <v>172</v>
      </c>
      <c r="C78" s="1121">
        <f t="shared" ref="C78:C85" si="7">40%*(1/18)</f>
        <v>2.2222222222222223E-2</v>
      </c>
      <c r="D78" s="1181">
        <v>1</v>
      </c>
      <c r="E78" s="1225"/>
      <c r="F78" s="1280">
        <f>D78</f>
        <v>1</v>
      </c>
      <c r="G78" s="1281">
        <f>'OR13-分公司财务管理'!M22</f>
        <v>0.9</v>
      </c>
      <c r="H78" s="1282">
        <f>D78</f>
        <v>1</v>
      </c>
      <c r="I78" s="1283">
        <f>D78</f>
        <v>1</v>
      </c>
      <c r="J78" s="1284">
        <f>D78</f>
        <v>1</v>
      </c>
      <c r="K78" s="1395" t="s">
        <v>2186</v>
      </c>
      <c r="L78" s="1395"/>
      <c r="M78" s="1384"/>
    </row>
    <row r="79" spans="1:13" ht="14.25">
      <c r="A79" s="1452"/>
      <c r="B79" s="1179" t="s">
        <v>2291</v>
      </c>
      <c r="C79" s="1100">
        <f t="shared" si="7"/>
        <v>2.2222222222222223E-2</v>
      </c>
      <c r="D79" s="1371">
        <v>3</v>
      </c>
      <c r="E79" s="1223"/>
      <c r="F79" s="1239">
        <f>'OR13-分公司财务管理'!M23</f>
        <v>3</v>
      </c>
      <c r="G79" s="1240">
        <f>'OR13-分公司财务管理'!M23</f>
        <v>3</v>
      </c>
      <c r="H79" s="1241">
        <f>'OR13-分公司财务管理'!M23</f>
        <v>3</v>
      </c>
      <c r="I79" s="1242">
        <f>'OR13-分公司财务管理'!M23</f>
        <v>3</v>
      </c>
      <c r="J79" s="1243">
        <f>'OR13-分公司财务管理'!M23</f>
        <v>3</v>
      </c>
      <c r="K79" s="1279" t="s">
        <v>2186</v>
      </c>
      <c r="L79" s="1279"/>
      <c r="M79" s="1385"/>
    </row>
    <row r="80" spans="1:13" ht="14.25">
      <c r="A80" s="1452"/>
      <c r="B80" s="1179" t="s">
        <v>1427</v>
      </c>
      <c r="C80" s="1100">
        <f t="shared" si="7"/>
        <v>2.2222222222222223E-2</v>
      </c>
      <c r="D80" s="1371">
        <v>3</v>
      </c>
      <c r="E80" s="1223"/>
      <c r="F80" s="1239">
        <f>'OR13-分公司财务管理'!M28</f>
        <v>3</v>
      </c>
      <c r="G80" s="1240">
        <f>'OR13-分公司财务管理'!M28</f>
        <v>3</v>
      </c>
      <c r="H80" s="1241">
        <f>'OR13-分公司财务管理'!M28</f>
        <v>3</v>
      </c>
      <c r="I80" s="1242">
        <f>'OR13-分公司财务管理'!M28</f>
        <v>3</v>
      </c>
      <c r="J80" s="1243">
        <f>'OR13-分公司财务管理'!M28</f>
        <v>3</v>
      </c>
      <c r="K80" s="1279" t="s">
        <v>2186</v>
      </c>
      <c r="L80" s="1279"/>
      <c r="M80" s="1385"/>
    </row>
    <row r="81" spans="1:13" ht="14.25">
      <c r="A81" s="1452"/>
      <c r="B81" s="85" t="s">
        <v>2240</v>
      </c>
      <c r="C81" s="1100">
        <f t="shared" si="7"/>
        <v>2.2222222222222223E-2</v>
      </c>
      <c r="D81" s="1371">
        <v>3</v>
      </c>
      <c r="E81" s="1223"/>
      <c r="F81" s="1251"/>
      <c r="G81" s="1240">
        <f>'OR13-分公司财务管理'!M32</f>
        <v>2.7</v>
      </c>
      <c r="H81" s="1251"/>
      <c r="I81" s="1251"/>
      <c r="J81" s="1265"/>
      <c r="K81" s="1279" t="s">
        <v>2186</v>
      </c>
      <c r="L81" s="1279"/>
      <c r="M81" s="1385"/>
    </row>
    <row r="82" spans="1:13" ht="14.25">
      <c r="A82" s="1452"/>
      <c r="B82" s="1458" t="s">
        <v>2292</v>
      </c>
      <c r="C82" s="1100"/>
      <c r="D82" s="1371"/>
      <c r="E82" s="1223"/>
      <c r="F82" s="1250">
        <v>1</v>
      </c>
      <c r="G82" s="1240">
        <v>0</v>
      </c>
      <c r="H82" s="1228">
        <v>3</v>
      </c>
      <c r="I82" s="1229">
        <v>0</v>
      </c>
      <c r="J82" s="1230">
        <v>0</v>
      </c>
      <c r="K82" s="1279" t="s">
        <v>2190</v>
      </c>
      <c r="L82" s="1279"/>
      <c r="M82" s="1385"/>
    </row>
    <row r="83" spans="1:13" ht="14.25">
      <c r="A83" s="1452"/>
      <c r="B83" s="1458"/>
      <c r="C83" s="1100">
        <f t="shared" si="7"/>
        <v>2.2222222222222223E-2</v>
      </c>
      <c r="D83" s="1371">
        <v>12</v>
      </c>
      <c r="E83" s="1223"/>
      <c r="F83" s="1239">
        <f>12-0.5*F82</f>
        <v>11.5</v>
      </c>
      <c r="G83" s="1240">
        <f t="shared" ref="G83:J83" si="8">12-0.5*G82</f>
        <v>12</v>
      </c>
      <c r="H83" s="1241">
        <f t="shared" si="8"/>
        <v>10.5</v>
      </c>
      <c r="I83" s="1242">
        <f t="shared" si="8"/>
        <v>12</v>
      </c>
      <c r="J83" s="1243">
        <f t="shared" si="8"/>
        <v>12</v>
      </c>
      <c r="K83" s="1279" t="s">
        <v>2186</v>
      </c>
      <c r="L83" s="1279"/>
      <c r="M83" s="1385"/>
    </row>
    <row r="84" spans="1:13" ht="14.25">
      <c r="A84" s="1452"/>
      <c r="B84" s="1179" t="s">
        <v>2293</v>
      </c>
      <c r="C84" s="1100">
        <f t="shared" si="7"/>
        <v>2.2222222222222223E-2</v>
      </c>
      <c r="D84" s="1371">
        <v>2</v>
      </c>
      <c r="E84" s="1223"/>
      <c r="F84" s="1251"/>
      <c r="G84" s="1240">
        <f>'OR13-分公司财务管理'!M40</f>
        <v>1.4</v>
      </c>
      <c r="H84" s="1241">
        <f>'OR13-分公司财务管理'!M40</f>
        <v>1.4</v>
      </c>
      <c r="I84" s="1251"/>
      <c r="J84" s="1265"/>
      <c r="K84" s="1279" t="s">
        <v>2186</v>
      </c>
      <c r="L84" s="1279"/>
      <c r="M84" s="1385"/>
    </row>
    <row r="85" spans="1:13" ht="14.25">
      <c r="A85" s="1452"/>
      <c r="B85" s="1179" t="s">
        <v>1446</v>
      </c>
      <c r="C85" s="1100">
        <f t="shared" si="7"/>
        <v>2.2222222222222223E-2</v>
      </c>
      <c r="D85" s="1371">
        <v>2</v>
      </c>
      <c r="E85" s="1223"/>
      <c r="F85" s="1251"/>
      <c r="G85" s="1240">
        <f>'OR13-分公司财务管理'!M43</f>
        <v>2</v>
      </c>
      <c r="H85" s="1241">
        <f>'OR13-分公司财务管理'!M43</f>
        <v>2</v>
      </c>
      <c r="I85" s="1251"/>
      <c r="J85" s="1265"/>
      <c r="K85" s="1279" t="s">
        <v>2186</v>
      </c>
      <c r="L85" s="1279"/>
      <c r="M85" s="1385"/>
    </row>
    <row r="86" spans="1:13" ht="15" thickBot="1">
      <c r="A86" s="1453"/>
      <c r="B86" s="1184" t="s">
        <v>2294</v>
      </c>
      <c r="C86" s="1124">
        <f>40%*(1/18)</f>
        <v>2.2222222222222223E-2</v>
      </c>
      <c r="D86" s="1182">
        <v>10</v>
      </c>
      <c r="E86" s="1261"/>
      <c r="F86" s="1252">
        <f>MAX(10-1*F82,0)</f>
        <v>9</v>
      </c>
      <c r="G86" s="1252">
        <f t="shared" ref="G86:J86" si="9">MAX(10-1*G82,0)</f>
        <v>10</v>
      </c>
      <c r="H86" s="1252">
        <f t="shared" si="9"/>
        <v>7</v>
      </c>
      <c r="I86" s="1252">
        <f t="shared" si="9"/>
        <v>10</v>
      </c>
      <c r="J86" s="1285">
        <f t="shared" si="9"/>
        <v>10</v>
      </c>
      <c r="K86" s="1399" t="s">
        <v>2192</v>
      </c>
      <c r="L86" s="1399"/>
      <c r="M86" s="1386"/>
    </row>
    <row r="87" spans="1:13" ht="43.5" thickBot="1">
      <c r="A87" s="1189" t="s">
        <v>2247</v>
      </c>
      <c r="B87" s="1190" t="s">
        <v>2296</v>
      </c>
      <c r="C87" s="1191">
        <f t="shared" ref="C87" si="10">60%*(1/18)</f>
        <v>3.3333333333333333E-2</v>
      </c>
      <c r="D87" s="1192">
        <v>3</v>
      </c>
      <c r="E87" s="1226"/>
      <c r="F87" s="1357"/>
      <c r="G87" s="1266">
        <f>'OR12-财务管理'!P25</f>
        <v>0</v>
      </c>
      <c r="H87" s="1267">
        <f>'OR12-财务管理'!P25</f>
        <v>0</v>
      </c>
      <c r="I87" s="1357"/>
      <c r="J87" s="1358"/>
      <c r="K87" s="1409" t="s">
        <v>2186</v>
      </c>
      <c r="L87" s="1409"/>
      <c r="M87" s="1387"/>
    </row>
    <row r="88" spans="1:13" ht="15">
      <c r="B88" s="120"/>
      <c r="D88" s="1115" t="s">
        <v>1657</v>
      </c>
      <c r="E88" s="1286">
        <f>C3*D3+C8*D8+SUMPRODUCT(C16:C18,D16:D18)+C21*D21+SUMPRODUCT(C29:C31,D29:D31)+C33*D33+C35*D35+SUMPRODUCT(C38:C44,D38:D44)+SUMPRODUCT(C46:C77,D46:D77)</f>
        <v>6.716666666666665</v>
      </c>
      <c r="F88" s="1286">
        <f>C2*D2+SUMPRODUCT(C4:C15,D4:D15)+C17*D17+C18*D18+SUMPRODUCT(C20:C28,D20:D28)+SUMPRODUCT(C30:C34,D30:D34)+C36*D36+C37*D37+SUMPRODUCT(C42:C46,D42:D46)+SUMPRODUCT(C78:C80,D78:D80)+C83*D83+C86*D86</f>
        <v>4.1944444444444438</v>
      </c>
      <c r="G88" s="1286">
        <f>SUMPRODUCT(C2:C6,D2:D6)+SUMPRODUCT(C9:C15,D9:D15)+SUMPRODUCT(C17:C21,D17:D21)+SUMPRODUCT(C24:C28,D24:D28)+C33*D33+C37*D37+SUMPRODUCT(C42:C46,D42:D46)+SUMPRODUCT(C78:C87,D78:D87)</f>
        <v>3.9666666666666663</v>
      </c>
      <c r="H88" s="1286">
        <f>C2*D2+SUMPRODUCT(C4:C15,D4:D15)+SUMPRODUCT(C17:C21,D17:D21)+SUMPRODUCT(C24:C28,D24:D28)+SUMPRODUCT(C30:C34,D30:D34)+C36*D36+C37*D37+SUMPRODUCT(C42:C46,D42:D46)+SUMPRODUCT(C78:C80,D78:D80)+SUMPRODUCT(C82:C87,D82:D87)</f>
        <v>4.3055555555555554</v>
      </c>
      <c r="I88" s="1286">
        <f>C2*D2+SUMPRODUCT(C4:C15,D4:D15)+SUMPRODUCT(C19:C21,D19:D21)+SUMPRODUCT(C24:C28,D24:D28)+SUMPRODUCT(C30:C34,D30:D34)+C36*D36+C37*D37+SUMPRODUCT(C42:C46,D42:D46)+SUMPRODUCT(C78:C80,D78:D80)+C83*D83+C86*D86+C17*D17</f>
        <v>4.0388888888888888</v>
      </c>
      <c r="J88" s="1286">
        <f>C2*D2+SUMPRODUCT(C4:C15,D4:D15)+SUMPRODUCT(C17:C18,D17:D18)+SUMPRODUCT(C20:C21,D20:D21)+C24*D24+C28*D28+SUMPRODUCT(C30:C34,D30:D34)+C36*D36+C37*D37+SUMPRODUCT(C42:C46,D42:D46)+SUMPRODUCT(C78:C80,D78:D80)+C83*D83+C86*D86</f>
        <v>3.8833333333333333</v>
      </c>
    </row>
    <row r="89" spans="1:13" ht="15">
      <c r="A89" s="1188"/>
      <c r="B89" s="120"/>
      <c r="D89" s="1115" t="s">
        <v>2250</v>
      </c>
      <c r="E89" s="1286">
        <f>SUMPRODUCT($C$2:$C$87,E2:E87)</f>
        <v>6.5848737373737389</v>
      </c>
      <c r="F89" s="1286">
        <f>SUMPRODUCT($C$2:$C$87,F2:F87)</f>
        <v>3.402408490507471</v>
      </c>
      <c r="G89" s="1286">
        <f t="shared" ref="G89:J89" si="11">SUMPRODUCT($C$2:$C$87,G2:G87)</f>
        <v>3.7253968253968259</v>
      </c>
      <c r="H89" s="1286">
        <f t="shared" si="11"/>
        <v>3.8294982261993886</v>
      </c>
      <c r="I89" s="1286">
        <f t="shared" si="11"/>
        <v>3.9860717599637239</v>
      </c>
      <c r="J89" s="1286">
        <f t="shared" si="11"/>
        <v>3.8222611617949656</v>
      </c>
    </row>
    <row r="90" spans="1:13" ht="15">
      <c r="A90" s="1188"/>
      <c r="B90" s="120"/>
      <c r="D90" s="1115" t="s">
        <v>1644</v>
      </c>
      <c r="E90" s="1286">
        <f>E89/E88*100</f>
        <v>98.037822392661141</v>
      </c>
      <c r="F90" s="1286">
        <f t="shared" ref="F90:I90" si="12">F89/F88*100</f>
        <v>81.117023614747666</v>
      </c>
      <c r="G90" s="1286">
        <f t="shared" si="12"/>
        <v>93.917567026810744</v>
      </c>
      <c r="H90" s="1286">
        <f t="shared" si="12"/>
        <v>88.943184608501937</v>
      </c>
      <c r="I90" s="1286">
        <f t="shared" si="12"/>
        <v>98.692285666227008</v>
      </c>
      <c r="J90" s="1286">
        <f>J89/J88*100</f>
        <v>98.427326054805988</v>
      </c>
    </row>
    <row r="91" spans="1:13" ht="14.25">
      <c r="A91" s="1188"/>
      <c r="B91" s="1108" t="s">
        <v>2217</v>
      </c>
    </row>
    <row r="92" spans="1:13" ht="14.25">
      <c r="A92" s="1188"/>
      <c r="B92" s="120"/>
    </row>
    <row r="93" spans="1:13" ht="15">
      <c r="A93" s="1188"/>
      <c r="B93" s="120"/>
      <c r="C93" s="1171" t="s">
        <v>1675</v>
      </c>
      <c r="D93" s="1173">
        <f>VALUE($I$90)</f>
        <v>98.692285666227008</v>
      </c>
    </row>
    <row r="94" spans="1:13" ht="15">
      <c r="A94" s="1188"/>
      <c r="B94" s="120"/>
      <c r="C94" s="1171" t="s">
        <v>1676</v>
      </c>
      <c r="D94" s="1173">
        <f>VALUE($J$90)</f>
        <v>98.427326054805988</v>
      </c>
    </row>
    <row r="95" spans="1:13" ht="15">
      <c r="A95" s="1188"/>
      <c r="B95" s="120"/>
      <c r="C95" s="1171" t="s">
        <v>1671</v>
      </c>
      <c r="D95" s="1173">
        <f>VALUE($E$90)</f>
        <v>98.037822392661141</v>
      </c>
    </row>
    <row r="96" spans="1:13" ht="15">
      <c r="A96" s="120"/>
      <c r="B96" s="120"/>
      <c r="C96" s="1171" t="s">
        <v>1673</v>
      </c>
      <c r="D96" s="1173">
        <f>VALUE($G$90)</f>
        <v>93.917567026810744</v>
      </c>
    </row>
    <row r="97" spans="1:4" ht="15">
      <c r="A97" s="120"/>
      <c r="C97" s="1171" t="s">
        <v>1674</v>
      </c>
      <c r="D97" s="1173">
        <f>VALUE($H$90)</f>
        <v>88.943184608501937</v>
      </c>
    </row>
    <row r="98" spans="1:4" ht="15">
      <c r="C98" s="1171" t="s">
        <v>1672</v>
      </c>
      <c r="D98" s="1173">
        <f>VALUE($F$90)</f>
        <v>81.117023614747666</v>
      </c>
    </row>
    <row r="99" spans="1:4">
      <c r="A99" s="860" t="s">
        <v>2465</v>
      </c>
    </row>
    <row r="100" spans="1:4">
      <c r="A100" s="860" t="s">
        <v>2464</v>
      </c>
    </row>
    <row r="101" spans="1:4">
      <c r="A101" s="860" t="s">
        <v>2463</v>
      </c>
    </row>
    <row r="102" spans="1:4">
      <c r="A102" s="860" t="s">
        <v>2462</v>
      </c>
    </row>
  </sheetData>
  <sortState ref="C93:D98">
    <sortCondition descending="1" ref="D93"/>
  </sortState>
  <mergeCells count="25">
    <mergeCell ref="L1:M1"/>
    <mergeCell ref="L17:M17"/>
    <mergeCell ref="L30:M30"/>
    <mergeCell ref="L31:M31"/>
    <mergeCell ref="E65:E68"/>
    <mergeCell ref="L34:M34"/>
    <mergeCell ref="L7:M7"/>
    <mergeCell ref="L36:M36"/>
    <mergeCell ref="A78:A86"/>
    <mergeCell ref="B23:B24"/>
    <mergeCell ref="B25:B26"/>
    <mergeCell ref="B27:B28"/>
    <mergeCell ref="B32:B33"/>
    <mergeCell ref="B43:B44"/>
    <mergeCell ref="B40:B41"/>
    <mergeCell ref="B82:B83"/>
    <mergeCell ref="B69:B70"/>
    <mergeCell ref="B71:B72"/>
    <mergeCell ref="A2:A16"/>
    <mergeCell ref="A17:A46"/>
    <mergeCell ref="D65:D68"/>
    <mergeCell ref="A47:A56"/>
    <mergeCell ref="A57:A77"/>
    <mergeCell ref="B5:B6"/>
    <mergeCell ref="B7:B8"/>
  </mergeCells>
  <phoneticPr fontId="3" type="noConversion"/>
  <conditionalFormatting sqref="F2:J2">
    <cfRule type="cellIs" dxfId="314" priority="50" operator="lessThan">
      <formula>$D$2</formula>
    </cfRule>
  </conditionalFormatting>
  <conditionalFormatting sqref="F4:J4">
    <cfRule type="cellIs" dxfId="313" priority="49" operator="lessThan">
      <formula>$D$4</formula>
    </cfRule>
  </conditionalFormatting>
  <conditionalFormatting sqref="F5:J5 F27:I27 F25:J25 F82:J82 E40 E43:J43 E69 E71 E32:F32 H32:J32">
    <cfRule type="cellIs" dxfId="312" priority="48" operator="greaterThan">
      <formula>0</formula>
    </cfRule>
  </conditionalFormatting>
  <conditionalFormatting sqref="F10:J10">
    <cfRule type="cellIs" dxfId="311" priority="44" operator="lessThan">
      <formula>$D$10</formula>
    </cfRule>
    <cfRule type="cellIs" dxfId="310" priority="47" operator="lessThan">
      <formula>$D$10</formula>
    </cfRule>
  </conditionalFormatting>
  <conditionalFormatting sqref="F9:J9">
    <cfRule type="cellIs" dxfId="309" priority="46" operator="lessThan">
      <formula>$D$9</formula>
    </cfRule>
  </conditionalFormatting>
  <conditionalFormatting sqref="F6:J6">
    <cfRule type="cellIs" dxfId="308" priority="45" operator="lessThan">
      <formula>$D$6</formula>
    </cfRule>
  </conditionalFormatting>
  <conditionalFormatting sqref="F11:J15">
    <cfRule type="cellIs" dxfId="307" priority="43" operator="lessThan">
      <formula>D11</formula>
    </cfRule>
  </conditionalFormatting>
  <conditionalFormatting sqref="F11:J11">
    <cfRule type="cellIs" dxfId="306" priority="42" operator="lessThan">
      <formula>$D$11</formula>
    </cfRule>
  </conditionalFormatting>
  <conditionalFormatting sqref="F12:J12">
    <cfRule type="cellIs" dxfId="305" priority="41" operator="lessThan">
      <formula>$D$12</formula>
    </cfRule>
  </conditionalFormatting>
  <conditionalFormatting sqref="F13:J13">
    <cfRule type="cellIs" dxfId="304" priority="40" operator="lessThan">
      <formula>$D$13</formula>
    </cfRule>
  </conditionalFormatting>
  <conditionalFormatting sqref="F14:J14">
    <cfRule type="cellIs" dxfId="303" priority="39" operator="lessThan">
      <formula>$D$14</formula>
    </cfRule>
  </conditionalFormatting>
  <conditionalFormatting sqref="F15:J15">
    <cfRule type="cellIs" dxfId="302" priority="38" operator="lessThan">
      <formula>$D$15</formula>
    </cfRule>
  </conditionalFormatting>
  <conditionalFormatting sqref="E16">
    <cfRule type="cellIs" dxfId="301" priority="37" operator="lessThan">
      <formula>$D$16</formula>
    </cfRule>
  </conditionalFormatting>
  <conditionalFormatting sqref="E17:J17">
    <cfRule type="cellIs" dxfId="300" priority="36" operator="lessThan">
      <formula>$D$17</formula>
    </cfRule>
  </conditionalFormatting>
  <conditionalFormatting sqref="E18:H18 J18">
    <cfRule type="cellIs" dxfId="299" priority="35" operator="lessThan">
      <formula>$D$18</formula>
    </cfRule>
  </conditionalFormatting>
  <conditionalFormatting sqref="F24:J24">
    <cfRule type="cellIs" dxfId="298" priority="34" operator="lessThan">
      <formula>$D$24</formula>
    </cfRule>
  </conditionalFormatting>
  <conditionalFormatting sqref="F28:J28">
    <cfRule type="cellIs" dxfId="297" priority="33" operator="lessThan">
      <formula>$D$28</formula>
    </cfRule>
  </conditionalFormatting>
  <conditionalFormatting sqref="E29">
    <cfRule type="cellIs" dxfId="296" priority="30" operator="lessThan">
      <formula>$D$29</formula>
    </cfRule>
  </conditionalFormatting>
  <conditionalFormatting sqref="E33:J33">
    <cfRule type="cellIs" dxfId="295" priority="28" operator="lessThan">
      <formula>$D$33</formula>
    </cfRule>
  </conditionalFormatting>
  <conditionalFormatting sqref="E35">
    <cfRule type="cellIs" dxfId="294" priority="27" operator="lessThan">
      <formula>$D$35</formula>
    </cfRule>
  </conditionalFormatting>
  <conditionalFormatting sqref="F37:J37">
    <cfRule type="cellIs" dxfId="293" priority="26" operator="lessThan">
      <formula>$D$37</formula>
    </cfRule>
  </conditionalFormatting>
  <conditionalFormatting sqref="E38">
    <cfRule type="cellIs" dxfId="292" priority="25" operator="lessThan">
      <formula>$D$38</formula>
    </cfRule>
  </conditionalFormatting>
  <conditionalFormatting sqref="E39">
    <cfRule type="cellIs" dxfId="291" priority="24" operator="lessThan">
      <formula>$D$39</formula>
    </cfRule>
  </conditionalFormatting>
  <conditionalFormatting sqref="E41">
    <cfRule type="cellIs" dxfId="290" priority="22" operator="lessThan">
      <formula>$D$41</formula>
    </cfRule>
  </conditionalFormatting>
  <conditionalFormatting sqref="E44:J44">
    <cfRule type="cellIs" dxfId="289" priority="20" operator="lessThan">
      <formula>$D$44</formula>
    </cfRule>
  </conditionalFormatting>
  <conditionalFormatting sqref="F45:J45">
    <cfRule type="cellIs" dxfId="288" priority="19" operator="lessThan">
      <formula>$D$45</formula>
    </cfRule>
  </conditionalFormatting>
  <conditionalFormatting sqref="E46:J46">
    <cfRule type="cellIs" dxfId="287" priority="18" operator="lessThan">
      <formula>$D$46</formula>
    </cfRule>
  </conditionalFormatting>
  <conditionalFormatting sqref="E47:E68 E70:E77">
    <cfRule type="cellIs" dxfId="286" priority="17" operator="lessThan">
      <formula>$D47</formula>
    </cfRule>
  </conditionalFormatting>
  <conditionalFormatting sqref="F78:J80">
    <cfRule type="cellIs" dxfId="285" priority="14" operator="lessThan">
      <formula>$D78</formula>
    </cfRule>
  </conditionalFormatting>
  <conditionalFormatting sqref="G81">
    <cfRule type="cellIs" dxfId="284" priority="13" operator="lessThan">
      <formula>$D$81</formula>
    </cfRule>
  </conditionalFormatting>
  <conditionalFormatting sqref="F83:J83">
    <cfRule type="cellIs" dxfId="283" priority="11" operator="lessThan">
      <formula>$D$83</formula>
    </cfRule>
  </conditionalFormatting>
  <conditionalFormatting sqref="G84:H84">
    <cfRule type="cellIs" dxfId="282" priority="10" operator="lessThan">
      <formula>$D$84</formula>
    </cfRule>
  </conditionalFormatting>
  <conditionalFormatting sqref="G85:H85">
    <cfRule type="cellIs" dxfId="281" priority="9" operator="lessThan">
      <formula>2</formula>
    </cfRule>
  </conditionalFormatting>
  <conditionalFormatting sqref="F86:J86">
    <cfRule type="cellIs" dxfId="280" priority="8" operator="lessThan">
      <formula>$D$86</formula>
    </cfRule>
  </conditionalFormatting>
  <conditionalFormatting sqref="F34 H34:J34">
    <cfRule type="cellIs" dxfId="279" priority="7" operator="lessThan">
      <formula>$D$34</formula>
    </cfRule>
  </conditionalFormatting>
  <conditionalFormatting sqref="F22">
    <cfRule type="cellIs" dxfId="278" priority="6" operator="lessThan">
      <formula>$D$22</formula>
    </cfRule>
  </conditionalFormatting>
  <conditionalFormatting sqref="F23">
    <cfRule type="cellIs" dxfId="277" priority="5" operator="greaterThan">
      <formula>0</formula>
    </cfRule>
  </conditionalFormatting>
  <conditionalFormatting sqref="F30 H30:J30">
    <cfRule type="cellIs" dxfId="276" priority="4" operator="lessThan">
      <formula>$D$30</formula>
    </cfRule>
  </conditionalFormatting>
  <conditionalFormatting sqref="E30">
    <cfRule type="cellIs" dxfId="275" priority="3" operator="lessThan">
      <formula>$D$30</formula>
    </cfRule>
  </conditionalFormatting>
  <conditionalFormatting sqref="E31:F31 H31:J31">
    <cfRule type="cellIs" dxfId="274" priority="2" operator="lessThan">
      <formula>$D$31</formula>
    </cfRule>
  </conditionalFormatting>
  <conditionalFormatting sqref="E32:J32">
    <cfRule type="cellIs" dxfId="273" priority="1" operator="greaterThan">
      <formula>0</formula>
    </cfRule>
  </conditionalFormatting>
  <hyperlinks>
    <hyperlink ref="A99" location="绩效总分!A1" display="绩效总分"/>
    <hyperlink ref="A100" location="'总公司绩效-I'!A1" display="总公司绩效-I"/>
    <hyperlink ref="A101" location="分公司绩效!A1" display="分公司绩效"/>
    <hyperlink ref="A102" location="目录!A1" display="目录"/>
  </hyperlinks>
  <pageMargins left="0.7" right="0.7" top="0.75" bottom="0.75" header="0.3" footer="0.3"/>
  <ignoredErrors>
    <ignoredError sqref="G26:I26" formula="1"/>
  </ignoredErrors>
  <legacyDrawing r:id="rId1"/>
</worksheet>
</file>

<file path=xl/worksheets/sheet8.xml><?xml version="1.0" encoding="utf-8"?>
<worksheet xmlns="http://schemas.openxmlformats.org/spreadsheetml/2006/main" xmlns:r="http://schemas.openxmlformats.org/officeDocument/2006/relationships">
  <sheetPr>
    <tabColor theme="3"/>
  </sheetPr>
  <dimension ref="A1:L154"/>
  <sheetViews>
    <sheetView workbookViewId="0">
      <pane xSplit="4" ySplit="1" topLeftCell="E119" activePane="bottomRight" state="frozenSplit"/>
      <selection pane="topRight" activeCell="E1" sqref="E1"/>
      <selection pane="bottomLeft" activeCell="A19" sqref="A19"/>
      <selection pane="bottomRight" activeCell="I142" sqref="I142"/>
    </sheetView>
  </sheetViews>
  <sheetFormatPr defaultRowHeight="13.5"/>
  <cols>
    <col min="1" max="1" width="7.625" customWidth="1"/>
    <col min="2" max="2" width="47" customWidth="1"/>
    <col min="3" max="3" width="10.375" customWidth="1"/>
    <col min="4" max="4" width="9.25" bestFit="1" customWidth="1"/>
    <col min="5" max="5" width="9.625" style="1110" bestFit="1" customWidth="1"/>
    <col min="6" max="6" width="8.375" style="1110" bestFit="1" customWidth="1"/>
    <col min="7" max="7" width="9.75" style="1110" customWidth="1"/>
    <col min="8" max="8" width="10.25" style="1110" customWidth="1"/>
    <col min="9" max="9" width="8.5" style="1110" bestFit="1" customWidth="1"/>
    <col min="10" max="10" width="16.75" customWidth="1"/>
    <col min="11" max="11" width="11.25" bestFit="1" customWidth="1"/>
  </cols>
  <sheetData>
    <row r="1" spans="1:12" ht="15.75" thickBot="1">
      <c r="A1" s="1138" t="s">
        <v>2227</v>
      </c>
      <c r="B1" s="681" t="s">
        <v>2222</v>
      </c>
      <c r="C1" s="681" t="s">
        <v>2228</v>
      </c>
      <c r="D1" s="681" t="s">
        <v>584</v>
      </c>
      <c r="E1" s="1115" t="s">
        <v>1183</v>
      </c>
      <c r="F1" s="1115" t="s">
        <v>2229</v>
      </c>
      <c r="G1" s="1115" t="s">
        <v>1475</v>
      </c>
      <c r="H1" s="1115" t="s">
        <v>1662</v>
      </c>
      <c r="I1" s="1115" t="s">
        <v>1474</v>
      </c>
      <c r="J1" s="681" t="s">
        <v>2189</v>
      </c>
    </row>
    <row r="2" spans="1:12" ht="16.5" customHeight="1">
      <c r="A2" s="1444" t="s">
        <v>2236</v>
      </c>
      <c r="B2" s="1132" t="s">
        <v>12</v>
      </c>
      <c r="C2" s="1495">
        <v>1.6666666666666666E-2</v>
      </c>
      <c r="D2" s="1492">
        <v>5</v>
      </c>
      <c r="E2" s="1475"/>
      <c r="F2" s="1475"/>
      <c r="G2" s="1475"/>
      <c r="H2" s="1475"/>
      <c r="I2" s="1489">
        <f>'OR02-销售承保'!R31</f>
        <v>5</v>
      </c>
      <c r="J2" s="1384" t="s">
        <v>2186</v>
      </c>
      <c r="K2" s="1" t="s">
        <v>2231</v>
      </c>
      <c r="L2" s="1144"/>
    </row>
    <row r="3" spans="1:12" ht="16.5" customHeight="1">
      <c r="A3" s="1445"/>
      <c r="B3" s="79" t="s">
        <v>15</v>
      </c>
      <c r="C3" s="1496"/>
      <c r="D3" s="1493"/>
      <c r="E3" s="1476"/>
      <c r="F3" s="1476"/>
      <c r="G3" s="1476"/>
      <c r="H3" s="1476"/>
      <c r="I3" s="1490"/>
      <c r="J3" s="1385" t="s">
        <v>2186</v>
      </c>
      <c r="K3" s="1" t="s">
        <v>2232</v>
      </c>
      <c r="L3" s="1062"/>
    </row>
    <row r="4" spans="1:12" ht="16.5" customHeight="1">
      <c r="A4" s="1445"/>
      <c r="B4" s="79" t="s">
        <v>18</v>
      </c>
      <c r="C4" s="1497">
        <v>1.6666666666666666E-2</v>
      </c>
      <c r="D4" s="1494">
        <v>5</v>
      </c>
      <c r="E4" s="1477"/>
      <c r="F4" s="1477"/>
      <c r="G4" s="1477"/>
      <c r="H4" s="1477"/>
      <c r="I4" s="1491">
        <f>'OR02-销售承保'!R33</f>
        <v>5</v>
      </c>
      <c r="J4" s="1385" t="s">
        <v>2186</v>
      </c>
      <c r="K4" s="1" t="s">
        <v>2223</v>
      </c>
      <c r="L4" s="1116"/>
    </row>
    <row r="5" spans="1:12" ht="16.5" customHeight="1">
      <c r="A5" s="1445"/>
      <c r="B5" s="79" t="s">
        <v>22</v>
      </c>
      <c r="C5" s="1496"/>
      <c r="D5" s="1493"/>
      <c r="E5" s="1476"/>
      <c r="F5" s="1476"/>
      <c r="G5" s="1476"/>
      <c r="H5" s="1476"/>
      <c r="I5" s="1490"/>
      <c r="J5" s="1385" t="s">
        <v>2186</v>
      </c>
      <c r="K5" s="1" t="s">
        <v>2224</v>
      </c>
      <c r="L5" s="1118"/>
    </row>
    <row r="6" spans="1:12" ht="17.25" thickBot="1">
      <c r="A6" s="1446"/>
      <c r="B6" s="1041" t="s">
        <v>26</v>
      </c>
      <c r="C6" s="1133">
        <v>1.6666666666666666E-2</v>
      </c>
      <c r="D6" s="1134">
        <v>5</v>
      </c>
      <c r="E6" s="1151"/>
      <c r="F6" s="1151"/>
      <c r="G6" s="1151"/>
      <c r="H6" s="1151"/>
      <c r="I6" s="1270">
        <f>'OR02-销售承保'!H35</f>
        <v>5</v>
      </c>
      <c r="J6" s="1386" t="s">
        <v>2186</v>
      </c>
      <c r="K6" s="1" t="s">
        <v>2233</v>
      </c>
      <c r="L6" s="1119"/>
    </row>
    <row r="7" spans="1:12" ht="57.75" thickBot="1">
      <c r="A7" s="1131" t="s">
        <v>2234</v>
      </c>
      <c r="B7" s="1128" t="s">
        <v>2235</v>
      </c>
      <c r="C7" s="1129">
        <f t="shared" ref="C7:C10" si="0">70%*(1/18)</f>
        <v>3.8888888888888883E-2</v>
      </c>
      <c r="D7" s="1130">
        <v>3</v>
      </c>
      <c r="E7" s="1152"/>
      <c r="F7" s="1152"/>
      <c r="G7" s="1152"/>
      <c r="H7" s="1152"/>
      <c r="I7" s="1271">
        <f>'OR04-分公司销售、承保、保全'!M70</f>
        <v>3</v>
      </c>
      <c r="J7" s="1387" t="s">
        <v>2186</v>
      </c>
    </row>
    <row r="8" spans="1:12" ht="13.5" customHeight="1">
      <c r="A8" s="1444" t="s">
        <v>1468</v>
      </c>
      <c r="B8" s="1135" t="s">
        <v>2235</v>
      </c>
      <c r="C8" s="1136">
        <f t="shared" si="0"/>
        <v>3.8888888888888883E-2</v>
      </c>
      <c r="D8" s="1137">
        <v>2</v>
      </c>
      <c r="E8" s="1149"/>
      <c r="F8" s="1149"/>
      <c r="G8" s="1149"/>
      <c r="H8" s="1149"/>
      <c r="I8" s="1272">
        <f>'OR08-分公司理赔'!M34</f>
        <v>2</v>
      </c>
      <c r="J8" s="1384" t="s">
        <v>2186</v>
      </c>
    </row>
    <row r="9" spans="1:12" ht="13.5" customHeight="1">
      <c r="A9" s="1445"/>
      <c r="B9" s="20" t="s">
        <v>1377</v>
      </c>
      <c r="C9" s="1126">
        <f t="shared" si="0"/>
        <v>3.8888888888888883E-2</v>
      </c>
      <c r="D9" s="1127">
        <v>2</v>
      </c>
      <c r="E9" s="1150"/>
      <c r="F9" s="1150"/>
      <c r="G9" s="1150"/>
      <c r="H9" s="1150"/>
      <c r="I9" s="1273">
        <f>'OR08-分公司理赔'!M36</f>
        <v>2</v>
      </c>
      <c r="J9" s="1385" t="s">
        <v>2186</v>
      </c>
    </row>
    <row r="10" spans="1:12" ht="13.5" customHeight="1" thickBot="1">
      <c r="A10" s="1446"/>
      <c r="B10" s="1123" t="s">
        <v>1381</v>
      </c>
      <c r="C10" s="1133">
        <f t="shared" si="0"/>
        <v>3.8888888888888883E-2</v>
      </c>
      <c r="D10" s="1134">
        <v>1</v>
      </c>
      <c r="E10" s="1151"/>
      <c r="F10" s="1151"/>
      <c r="G10" s="1151"/>
      <c r="H10" s="1151"/>
      <c r="I10" s="1270">
        <f>'OR08-分公司理赔'!M37</f>
        <v>1</v>
      </c>
      <c r="J10" s="1386" t="s">
        <v>2186</v>
      </c>
    </row>
    <row r="11" spans="1:12" ht="15" customHeight="1">
      <c r="A11" s="1444" t="s">
        <v>2218</v>
      </c>
      <c r="B11" s="1120" t="s">
        <v>34</v>
      </c>
      <c r="C11" s="1121">
        <f>1/18</f>
        <v>5.5555555555555552E-2</v>
      </c>
      <c r="D11" s="1122">
        <v>2</v>
      </c>
      <c r="E11" s="1156">
        <f>'OR10-资金运用'!M4</f>
        <v>2</v>
      </c>
      <c r="F11" s="1149"/>
      <c r="G11" s="1149"/>
      <c r="H11" s="1149"/>
      <c r="I11" s="1274"/>
      <c r="J11" s="1384" t="s">
        <v>2186</v>
      </c>
    </row>
    <row r="12" spans="1:12" ht="16.5">
      <c r="A12" s="1445"/>
      <c r="B12" s="12" t="s">
        <v>35</v>
      </c>
      <c r="C12" s="1100">
        <f>1/18</f>
        <v>5.5555555555555552E-2</v>
      </c>
      <c r="D12" s="71">
        <v>2</v>
      </c>
      <c r="E12" s="1157">
        <f>'OR10-资金运用'!M5</f>
        <v>2</v>
      </c>
      <c r="F12" s="1150"/>
      <c r="G12" s="1150"/>
      <c r="H12" s="1150"/>
      <c r="I12" s="1275"/>
      <c r="J12" s="1385" t="s">
        <v>2186</v>
      </c>
    </row>
    <row r="13" spans="1:12" ht="16.5">
      <c r="A13" s="1445"/>
      <c r="B13" s="12" t="s">
        <v>38</v>
      </c>
      <c r="C13" s="1100">
        <f t="shared" ref="C13:C62" si="1">1/18</f>
        <v>5.5555555555555552E-2</v>
      </c>
      <c r="D13" s="71">
        <v>2</v>
      </c>
      <c r="E13" s="1157">
        <f>'OR10-资金运用'!M6</f>
        <v>2</v>
      </c>
      <c r="F13" s="1150"/>
      <c r="G13" s="1150"/>
      <c r="H13" s="1150"/>
      <c r="I13" s="1275"/>
      <c r="J13" s="1385" t="s">
        <v>2186</v>
      </c>
    </row>
    <row r="14" spans="1:12" ht="14.25">
      <c r="A14" s="1445"/>
      <c r="B14" s="12" t="s">
        <v>39</v>
      </c>
      <c r="C14" s="1504">
        <f t="shared" si="1"/>
        <v>5.5555555555555552E-2</v>
      </c>
      <c r="D14" s="1482">
        <v>1</v>
      </c>
      <c r="E14" s="1480">
        <f>'OR10-资金运用'!M7</f>
        <v>1</v>
      </c>
      <c r="F14" s="1477"/>
      <c r="G14" s="1477"/>
      <c r="H14" s="1477"/>
      <c r="I14" s="1500"/>
      <c r="J14" s="1385" t="s">
        <v>2186</v>
      </c>
    </row>
    <row r="15" spans="1:12" ht="14.25">
      <c r="A15" s="1445"/>
      <c r="B15" s="12" t="s">
        <v>43</v>
      </c>
      <c r="C15" s="1485"/>
      <c r="D15" s="1483"/>
      <c r="E15" s="1481"/>
      <c r="F15" s="1476"/>
      <c r="G15" s="1476"/>
      <c r="H15" s="1476"/>
      <c r="I15" s="1501"/>
      <c r="J15" s="1385" t="s">
        <v>2186</v>
      </c>
    </row>
    <row r="16" spans="1:12" ht="16.5">
      <c r="A16" s="1445"/>
      <c r="B16" s="12" t="s">
        <v>46</v>
      </c>
      <c r="C16" s="1100">
        <f t="shared" si="1"/>
        <v>5.5555555555555552E-2</v>
      </c>
      <c r="D16" s="71">
        <v>1</v>
      </c>
      <c r="E16" s="1157">
        <f>'OR10-资金运用'!M9</f>
        <v>1</v>
      </c>
      <c r="F16" s="1150"/>
      <c r="G16" s="1150"/>
      <c r="H16" s="1150"/>
      <c r="I16" s="1275"/>
      <c r="J16" s="1385" t="s">
        <v>2186</v>
      </c>
    </row>
    <row r="17" spans="1:10" ht="16.5">
      <c r="A17" s="1445"/>
      <c r="B17" s="12" t="s">
        <v>49</v>
      </c>
      <c r="C17" s="1100">
        <f t="shared" si="1"/>
        <v>5.5555555555555552E-2</v>
      </c>
      <c r="D17" s="71">
        <v>2</v>
      </c>
      <c r="E17" s="1157">
        <f>'OR10-资金运用'!M12</f>
        <v>2</v>
      </c>
      <c r="F17" s="1150"/>
      <c r="G17" s="1150"/>
      <c r="H17" s="1150"/>
      <c r="I17" s="1275"/>
      <c r="J17" s="1385" t="s">
        <v>2186</v>
      </c>
    </row>
    <row r="18" spans="1:10" ht="14.25">
      <c r="A18" s="1445"/>
      <c r="B18" s="12" t="s">
        <v>53</v>
      </c>
      <c r="C18" s="1504">
        <f t="shared" si="1"/>
        <v>5.5555555555555552E-2</v>
      </c>
      <c r="D18" s="1482">
        <v>1</v>
      </c>
      <c r="E18" s="1480">
        <f>'OR10-资金运用'!M16</f>
        <v>1</v>
      </c>
      <c r="F18" s="1477"/>
      <c r="G18" s="1477"/>
      <c r="H18" s="1477"/>
      <c r="I18" s="1500"/>
      <c r="J18" s="1385" t="s">
        <v>2186</v>
      </c>
    </row>
    <row r="19" spans="1:10" ht="14.25">
      <c r="A19" s="1445"/>
      <c r="B19" s="12" t="s">
        <v>54</v>
      </c>
      <c r="C19" s="1485"/>
      <c r="D19" s="1483"/>
      <c r="E19" s="1481"/>
      <c r="F19" s="1476"/>
      <c r="G19" s="1476"/>
      <c r="H19" s="1476"/>
      <c r="I19" s="1501"/>
      <c r="J19" s="1385" t="s">
        <v>2186</v>
      </c>
    </row>
    <row r="20" spans="1:10" ht="16.5">
      <c r="A20" s="1445"/>
      <c r="B20" s="12" t="s">
        <v>55</v>
      </c>
      <c r="C20" s="1100">
        <f t="shared" si="1"/>
        <v>5.5555555555555552E-2</v>
      </c>
      <c r="D20" s="71">
        <v>1</v>
      </c>
      <c r="E20" s="1157">
        <f>'OR10-资金运用'!M18</f>
        <v>1</v>
      </c>
      <c r="F20" s="1150"/>
      <c r="G20" s="1150"/>
      <c r="H20" s="1150"/>
      <c r="I20" s="1275"/>
      <c r="J20" s="1385" t="s">
        <v>2186</v>
      </c>
    </row>
    <row r="21" spans="1:10" ht="14.25">
      <c r="A21" s="1445"/>
      <c r="B21" s="12" t="s">
        <v>58</v>
      </c>
      <c r="C21" s="1504">
        <f t="shared" si="1"/>
        <v>5.5555555555555552E-2</v>
      </c>
      <c r="D21" s="1482">
        <v>1</v>
      </c>
      <c r="E21" s="1480">
        <f>'OR10-资金运用'!M21</f>
        <v>1</v>
      </c>
      <c r="F21" s="1477"/>
      <c r="G21" s="1477"/>
      <c r="H21" s="1477"/>
      <c r="I21" s="1500"/>
      <c r="J21" s="1385" t="s">
        <v>2186</v>
      </c>
    </row>
    <row r="22" spans="1:10" ht="14.25" customHeight="1">
      <c r="A22" s="1445"/>
      <c r="B22" s="12" t="s">
        <v>61</v>
      </c>
      <c r="C22" s="1485"/>
      <c r="D22" s="1483"/>
      <c r="E22" s="1481"/>
      <c r="F22" s="1476"/>
      <c r="G22" s="1476"/>
      <c r="H22" s="1476"/>
      <c r="I22" s="1501"/>
      <c r="J22" s="1385" t="s">
        <v>2186</v>
      </c>
    </row>
    <row r="23" spans="1:10" ht="14.25">
      <c r="A23" s="1445"/>
      <c r="B23" s="12" t="s">
        <v>64</v>
      </c>
      <c r="C23" s="1504">
        <f t="shared" si="1"/>
        <v>5.5555555555555552E-2</v>
      </c>
      <c r="D23" s="1482">
        <v>1</v>
      </c>
      <c r="E23" s="1480">
        <f>'OR10-资金运用'!M23</f>
        <v>1</v>
      </c>
      <c r="F23" s="1477"/>
      <c r="G23" s="1477"/>
      <c r="H23" s="1477"/>
      <c r="I23" s="1500"/>
      <c r="J23" s="1385" t="s">
        <v>2186</v>
      </c>
    </row>
    <row r="24" spans="1:10" ht="14.25">
      <c r="A24" s="1445"/>
      <c r="B24" s="12" t="s">
        <v>67</v>
      </c>
      <c r="C24" s="1485"/>
      <c r="D24" s="1483"/>
      <c r="E24" s="1481"/>
      <c r="F24" s="1476"/>
      <c r="G24" s="1476"/>
      <c r="H24" s="1476"/>
      <c r="I24" s="1501"/>
      <c r="J24" s="1385" t="s">
        <v>2186</v>
      </c>
    </row>
    <row r="25" spans="1:10" ht="14.25" customHeight="1">
      <c r="A25" s="1445"/>
      <c r="B25" s="12" t="s">
        <v>2225</v>
      </c>
      <c r="C25" s="1504">
        <f t="shared" si="1"/>
        <v>5.5555555555555552E-2</v>
      </c>
      <c r="D25" s="1482">
        <v>1</v>
      </c>
      <c r="E25" s="1480">
        <f>'OR10-资金运用'!M25</f>
        <v>1</v>
      </c>
      <c r="F25" s="1477"/>
      <c r="G25" s="1477"/>
      <c r="H25" s="1477"/>
      <c r="I25" s="1500"/>
      <c r="J25" s="1385" t="s">
        <v>2186</v>
      </c>
    </row>
    <row r="26" spans="1:10" ht="16.5" customHeight="1">
      <c r="A26" s="1445"/>
      <c r="B26" s="12" t="s">
        <v>2226</v>
      </c>
      <c r="C26" s="1485"/>
      <c r="D26" s="1483"/>
      <c r="E26" s="1481"/>
      <c r="F26" s="1476"/>
      <c r="G26" s="1476"/>
      <c r="H26" s="1476"/>
      <c r="I26" s="1501"/>
      <c r="J26" s="1385" t="s">
        <v>2186</v>
      </c>
    </row>
    <row r="27" spans="1:10" ht="16.5">
      <c r="A27" s="1445"/>
      <c r="B27" s="12" t="s">
        <v>71</v>
      </c>
      <c r="C27" s="1100">
        <f t="shared" si="1"/>
        <v>5.5555555555555552E-2</v>
      </c>
      <c r="D27" s="71">
        <v>5</v>
      </c>
      <c r="E27" s="1157">
        <f>'OR10-资金运用'!M27</f>
        <v>5</v>
      </c>
      <c r="F27" s="1150"/>
      <c r="G27" s="1150"/>
      <c r="H27" s="1150"/>
      <c r="I27" s="1275"/>
      <c r="J27" s="1385" t="s">
        <v>2186</v>
      </c>
    </row>
    <row r="28" spans="1:10" ht="16.5">
      <c r="A28" s="1445"/>
      <c r="B28" s="12" t="s">
        <v>74</v>
      </c>
      <c r="C28" s="1100">
        <f t="shared" si="1"/>
        <v>5.5555555555555552E-2</v>
      </c>
      <c r="D28" s="71">
        <v>1</v>
      </c>
      <c r="E28" s="1157">
        <f>'OR10-资金运用'!M28</f>
        <v>1</v>
      </c>
      <c r="F28" s="1150"/>
      <c r="G28" s="1150"/>
      <c r="H28" s="1150"/>
      <c r="I28" s="1275"/>
      <c r="J28" s="1385" t="s">
        <v>2186</v>
      </c>
    </row>
    <row r="29" spans="1:10" ht="14.25" customHeight="1">
      <c r="A29" s="1445"/>
      <c r="B29" s="12" t="s">
        <v>78</v>
      </c>
      <c r="C29" s="1100">
        <f t="shared" si="1"/>
        <v>5.5555555555555552E-2</v>
      </c>
      <c r="D29" s="71">
        <v>1</v>
      </c>
      <c r="E29" s="1157">
        <f>'OR10-资金运用'!M29</f>
        <v>1</v>
      </c>
      <c r="F29" s="1150"/>
      <c r="G29" s="1150"/>
      <c r="H29" s="1150"/>
      <c r="I29" s="1275"/>
      <c r="J29" s="1385" t="s">
        <v>2186</v>
      </c>
    </row>
    <row r="30" spans="1:10" ht="16.5" customHeight="1">
      <c r="A30" s="1445"/>
      <c r="B30" s="12" t="s">
        <v>81</v>
      </c>
      <c r="C30" s="1100">
        <f t="shared" si="1"/>
        <v>5.5555555555555552E-2</v>
      </c>
      <c r="D30" s="71">
        <v>2</v>
      </c>
      <c r="E30" s="1157">
        <f>'OR10-资金运用'!M30</f>
        <v>2</v>
      </c>
      <c r="F30" s="1150"/>
      <c r="G30" s="1150"/>
      <c r="H30" s="1150"/>
      <c r="I30" s="1275"/>
      <c r="J30" s="1385" t="s">
        <v>2186</v>
      </c>
    </row>
    <row r="31" spans="1:10" ht="16.5">
      <c r="A31" s="1445"/>
      <c r="B31" s="12" t="s">
        <v>85</v>
      </c>
      <c r="C31" s="1100">
        <f t="shared" si="1"/>
        <v>5.5555555555555552E-2</v>
      </c>
      <c r="D31" s="71">
        <v>4</v>
      </c>
      <c r="E31" s="1157">
        <f>'OR10-资金运用'!M31</f>
        <v>4</v>
      </c>
      <c r="F31" s="1150"/>
      <c r="G31" s="1150"/>
      <c r="H31" s="1150"/>
      <c r="I31" s="1275"/>
      <c r="J31" s="1385" t="s">
        <v>2186</v>
      </c>
    </row>
    <row r="32" spans="1:10" ht="14.25" customHeight="1">
      <c r="A32" s="1445"/>
      <c r="B32" s="12" t="s">
        <v>88</v>
      </c>
      <c r="C32" s="1504">
        <f t="shared" si="1"/>
        <v>5.5555555555555552E-2</v>
      </c>
      <c r="D32" s="1482">
        <v>3</v>
      </c>
      <c r="E32" s="1480">
        <f>'OR10-资金运用'!M32</f>
        <v>3</v>
      </c>
      <c r="F32" s="1477"/>
      <c r="G32" s="1477"/>
      <c r="H32" s="1477"/>
      <c r="I32" s="1500"/>
      <c r="J32" s="1385" t="s">
        <v>2186</v>
      </c>
    </row>
    <row r="33" spans="1:10" ht="14.25">
      <c r="A33" s="1445"/>
      <c r="B33" s="12" t="s">
        <v>91</v>
      </c>
      <c r="C33" s="1485"/>
      <c r="D33" s="1483"/>
      <c r="E33" s="1481"/>
      <c r="F33" s="1476"/>
      <c r="G33" s="1476"/>
      <c r="H33" s="1476"/>
      <c r="I33" s="1501"/>
      <c r="J33" s="1385" t="s">
        <v>2186</v>
      </c>
    </row>
    <row r="34" spans="1:10" ht="14.25" customHeight="1">
      <c r="A34" s="1445"/>
      <c r="B34" s="20" t="s">
        <v>92</v>
      </c>
      <c r="C34" s="1100">
        <f t="shared" si="1"/>
        <v>5.5555555555555552E-2</v>
      </c>
      <c r="D34" s="71">
        <v>5</v>
      </c>
      <c r="E34" s="1157">
        <f>'OR10-资金运用'!M34</f>
        <v>5</v>
      </c>
      <c r="F34" s="1150"/>
      <c r="G34" s="1150"/>
      <c r="H34" s="1150"/>
      <c r="I34" s="1275"/>
      <c r="J34" s="1385" t="s">
        <v>2186</v>
      </c>
    </row>
    <row r="35" spans="1:10" ht="16.5">
      <c r="A35" s="1445"/>
      <c r="B35" s="12" t="s">
        <v>96</v>
      </c>
      <c r="C35" s="1100">
        <f t="shared" si="1"/>
        <v>5.5555555555555552E-2</v>
      </c>
      <c r="D35" s="71">
        <v>1</v>
      </c>
      <c r="E35" s="1157">
        <f>'OR10-资金运用'!M35</f>
        <v>1</v>
      </c>
      <c r="F35" s="1150"/>
      <c r="G35" s="1150"/>
      <c r="H35" s="1150"/>
      <c r="I35" s="1275"/>
      <c r="J35" s="1385" t="s">
        <v>2186</v>
      </c>
    </row>
    <row r="36" spans="1:10" ht="14.25" customHeight="1">
      <c r="A36" s="1445"/>
      <c r="B36" s="12" t="s">
        <v>99</v>
      </c>
      <c r="C36" s="1504">
        <f t="shared" si="1"/>
        <v>5.5555555555555552E-2</v>
      </c>
      <c r="D36" s="1482">
        <v>1</v>
      </c>
      <c r="E36" s="1480">
        <f>'OR10-资金运用'!M36</f>
        <v>1</v>
      </c>
      <c r="F36" s="1477"/>
      <c r="G36" s="1477"/>
      <c r="H36" s="1477"/>
      <c r="I36" s="1500"/>
      <c r="J36" s="1385" t="s">
        <v>2186</v>
      </c>
    </row>
    <row r="37" spans="1:10" ht="14.25">
      <c r="A37" s="1445"/>
      <c r="B37" s="12" t="s">
        <v>102</v>
      </c>
      <c r="C37" s="1485"/>
      <c r="D37" s="1483"/>
      <c r="E37" s="1481"/>
      <c r="F37" s="1476"/>
      <c r="G37" s="1476"/>
      <c r="H37" s="1476"/>
      <c r="I37" s="1501"/>
      <c r="J37" s="1385" t="s">
        <v>2186</v>
      </c>
    </row>
    <row r="38" spans="1:10" ht="14.25">
      <c r="A38" s="1445"/>
      <c r="B38" s="12" t="s">
        <v>103</v>
      </c>
      <c r="C38" s="1504">
        <f t="shared" si="1"/>
        <v>5.5555555555555552E-2</v>
      </c>
      <c r="D38" s="1482">
        <v>1</v>
      </c>
      <c r="E38" s="1480">
        <f>'OR10-资金运用'!M38</f>
        <v>1</v>
      </c>
      <c r="F38" s="1477"/>
      <c r="G38" s="1477"/>
      <c r="H38" s="1477"/>
      <c r="I38" s="1500"/>
      <c r="J38" s="1385" t="s">
        <v>2186</v>
      </c>
    </row>
    <row r="39" spans="1:10" ht="14.25">
      <c r="A39" s="1445"/>
      <c r="B39" s="12" t="s">
        <v>106</v>
      </c>
      <c r="C39" s="1485"/>
      <c r="D39" s="1483"/>
      <c r="E39" s="1481"/>
      <c r="F39" s="1476"/>
      <c r="G39" s="1476"/>
      <c r="H39" s="1476"/>
      <c r="I39" s="1501"/>
      <c r="J39" s="1385" t="s">
        <v>2186</v>
      </c>
    </row>
    <row r="40" spans="1:10" ht="14.25">
      <c r="A40" s="1445"/>
      <c r="B40" s="12" t="s">
        <v>107</v>
      </c>
      <c r="C40" s="1504">
        <f t="shared" si="1"/>
        <v>5.5555555555555552E-2</v>
      </c>
      <c r="D40" s="1482">
        <v>1</v>
      </c>
      <c r="E40" s="1480">
        <f>'OR10-资金运用'!M40</f>
        <v>1</v>
      </c>
      <c r="F40" s="1477"/>
      <c r="G40" s="1477"/>
      <c r="H40" s="1477"/>
      <c r="I40" s="1500"/>
      <c r="J40" s="1385" t="s">
        <v>2186</v>
      </c>
    </row>
    <row r="41" spans="1:10" ht="14.25">
      <c r="A41" s="1445"/>
      <c r="B41" s="12" t="s">
        <v>111</v>
      </c>
      <c r="C41" s="1485"/>
      <c r="D41" s="1483"/>
      <c r="E41" s="1481"/>
      <c r="F41" s="1476"/>
      <c r="G41" s="1476"/>
      <c r="H41" s="1476"/>
      <c r="I41" s="1501"/>
      <c r="J41" s="1385" t="s">
        <v>2186</v>
      </c>
    </row>
    <row r="42" spans="1:10" ht="16.5">
      <c r="A42" s="1445"/>
      <c r="B42" s="12" t="s">
        <v>112</v>
      </c>
      <c r="C42" s="1100">
        <f t="shared" si="1"/>
        <v>5.5555555555555552E-2</v>
      </c>
      <c r="D42" s="71">
        <v>5</v>
      </c>
      <c r="E42" s="1157">
        <f>'OR10-资金运用'!M42</f>
        <v>5</v>
      </c>
      <c r="F42" s="1150"/>
      <c r="G42" s="1150"/>
      <c r="H42" s="1150"/>
      <c r="I42" s="1275"/>
      <c r="J42" s="1385" t="s">
        <v>2186</v>
      </c>
    </row>
    <row r="43" spans="1:10" ht="14.25" customHeight="1">
      <c r="A43" s="1445"/>
      <c r="B43" s="12" t="s">
        <v>113</v>
      </c>
      <c r="C43" s="1504">
        <f t="shared" si="1"/>
        <v>5.5555555555555552E-2</v>
      </c>
      <c r="D43" s="1482">
        <v>2</v>
      </c>
      <c r="E43" s="1480">
        <f>'OR10-资金运用'!M43</f>
        <v>2</v>
      </c>
      <c r="F43" s="1477"/>
      <c r="G43" s="1477"/>
      <c r="H43" s="1477"/>
      <c r="I43" s="1500"/>
      <c r="J43" s="1385" t="s">
        <v>2186</v>
      </c>
    </row>
    <row r="44" spans="1:10" ht="14.25">
      <c r="A44" s="1445"/>
      <c r="B44" s="12" t="s">
        <v>116</v>
      </c>
      <c r="C44" s="1485"/>
      <c r="D44" s="1483"/>
      <c r="E44" s="1481"/>
      <c r="F44" s="1476"/>
      <c r="G44" s="1476"/>
      <c r="H44" s="1476"/>
      <c r="I44" s="1501"/>
      <c r="J44" s="1385" t="s">
        <v>2186</v>
      </c>
    </row>
    <row r="45" spans="1:10" ht="14.25">
      <c r="A45" s="1445"/>
      <c r="B45" s="12" t="s">
        <v>117</v>
      </c>
      <c r="C45" s="1504">
        <f t="shared" si="1"/>
        <v>5.5555555555555552E-2</v>
      </c>
      <c r="D45" s="1482">
        <v>1</v>
      </c>
      <c r="E45" s="1480">
        <f>'OR10-资金运用'!M45</f>
        <v>1</v>
      </c>
      <c r="F45" s="1477"/>
      <c r="G45" s="1477"/>
      <c r="H45" s="1477"/>
      <c r="I45" s="1500"/>
      <c r="J45" s="1385" t="s">
        <v>2186</v>
      </c>
    </row>
    <row r="46" spans="1:10" ht="14.25">
      <c r="A46" s="1445"/>
      <c r="B46" s="12" t="s">
        <v>120</v>
      </c>
      <c r="C46" s="1485"/>
      <c r="D46" s="1483"/>
      <c r="E46" s="1481"/>
      <c r="F46" s="1476"/>
      <c r="G46" s="1476"/>
      <c r="H46" s="1476"/>
      <c r="I46" s="1501"/>
      <c r="J46" s="1385" t="s">
        <v>2186</v>
      </c>
    </row>
    <row r="47" spans="1:10" ht="14.25" customHeight="1">
      <c r="A47" s="1445"/>
      <c r="B47" s="12" t="s">
        <v>121</v>
      </c>
      <c r="C47" s="1100">
        <f t="shared" si="1"/>
        <v>5.5555555555555552E-2</v>
      </c>
      <c r="D47" s="71">
        <v>5</v>
      </c>
      <c r="E47" s="1157">
        <f>'OR10-资金运用'!M47</f>
        <v>5</v>
      </c>
      <c r="F47" s="1378"/>
      <c r="G47" s="1378"/>
      <c r="H47" s="1378"/>
      <c r="I47" s="1376"/>
      <c r="J47" s="1385" t="s">
        <v>2186</v>
      </c>
    </row>
    <row r="48" spans="1:10" ht="14.25">
      <c r="A48" s="1445"/>
      <c r="B48" s="12" t="s">
        <v>122</v>
      </c>
      <c r="C48" s="1504">
        <f t="shared" si="1"/>
        <v>5.5555555555555552E-2</v>
      </c>
      <c r="D48" s="1482">
        <v>1</v>
      </c>
      <c r="E48" s="1480">
        <f>'OR10-资金运用'!M48</f>
        <v>1</v>
      </c>
      <c r="F48" s="1477"/>
      <c r="G48" s="1502">
        <f>'OR10-资金运用'!M48</f>
        <v>1</v>
      </c>
      <c r="H48" s="1477"/>
      <c r="I48" s="1500"/>
      <c r="J48" s="1385" t="s">
        <v>2186</v>
      </c>
    </row>
    <row r="49" spans="1:10" ht="14.25" customHeight="1">
      <c r="A49" s="1445"/>
      <c r="B49" s="12" t="s">
        <v>125</v>
      </c>
      <c r="C49" s="1485"/>
      <c r="D49" s="1483"/>
      <c r="E49" s="1481"/>
      <c r="F49" s="1476"/>
      <c r="G49" s="1503"/>
      <c r="H49" s="1476"/>
      <c r="I49" s="1501"/>
      <c r="J49" s="1385" t="s">
        <v>2186</v>
      </c>
    </row>
    <row r="50" spans="1:10" ht="14.25">
      <c r="A50" s="1445"/>
      <c r="B50" s="20" t="s">
        <v>126</v>
      </c>
      <c r="C50" s="1504">
        <f t="shared" si="1"/>
        <v>5.5555555555555552E-2</v>
      </c>
      <c r="D50" s="1482">
        <v>1</v>
      </c>
      <c r="E50" s="1480">
        <f>'OR10-资金运用'!M50</f>
        <v>1</v>
      </c>
      <c r="F50" s="1477"/>
      <c r="G50" s="1477"/>
      <c r="H50" s="1477"/>
      <c r="I50" s="1500"/>
      <c r="J50" s="1385" t="s">
        <v>2186</v>
      </c>
    </row>
    <row r="51" spans="1:10" ht="14.25" customHeight="1">
      <c r="A51" s="1445"/>
      <c r="B51" s="12" t="s">
        <v>129</v>
      </c>
      <c r="C51" s="1485"/>
      <c r="D51" s="1483"/>
      <c r="E51" s="1481"/>
      <c r="F51" s="1476"/>
      <c r="G51" s="1476"/>
      <c r="H51" s="1476"/>
      <c r="I51" s="1501"/>
      <c r="J51" s="1385" t="s">
        <v>2186</v>
      </c>
    </row>
    <row r="52" spans="1:10" ht="16.5">
      <c r="A52" s="1445"/>
      <c r="B52" s="12" t="s">
        <v>132</v>
      </c>
      <c r="C52" s="1100">
        <f t="shared" si="1"/>
        <v>5.5555555555555552E-2</v>
      </c>
      <c r="D52" s="71">
        <v>5</v>
      </c>
      <c r="E52" s="1378"/>
      <c r="F52" s="1378"/>
      <c r="G52" s="1158">
        <f>'OR10-资金运用'!M52</f>
        <v>5</v>
      </c>
      <c r="H52" s="1378"/>
      <c r="I52" s="1376"/>
      <c r="J52" s="1385" t="s">
        <v>2186</v>
      </c>
    </row>
    <row r="53" spans="1:10" ht="16.5">
      <c r="A53" s="1445"/>
      <c r="B53" s="12" t="s">
        <v>133</v>
      </c>
      <c r="C53" s="1373">
        <f t="shared" si="1"/>
        <v>5.5555555555555552E-2</v>
      </c>
      <c r="D53" s="71">
        <v>5</v>
      </c>
      <c r="E53" s="1159">
        <f>'OR10-资金运用'!M53</f>
        <v>5</v>
      </c>
      <c r="F53" s="1378"/>
      <c r="G53" s="1378"/>
      <c r="H53" s="1378"/>
      <c r="I53" s="1376"/>
      <c r="J53" s="1385" t="s">
        <v>2186</v>
      </c>
    </row>
    <row r="54" spans="1:10" ht="14.25" customHeight="1">
      <c r="A54" s="1445"/>
      <c r="B54" s="12" t="s">
        <v>134</v>
      </c>
      <c r="C54" s="1484">
        <f t="shared" si="1"/>
        <v>5.5555555555555552E-2</v>
      </c>
      <c r="D54" s="1482">
        <v>3</v>
      </c>
      <c r="E54" s="1498">
        <f>'OR10-资金运用'!M54</f>
        <v>3</v>
      </c>
      <c r="F54" s="1477"/>
      <c r="G54" s="1477"/>
      <c r="H54" s="1477"/>
      <c r="I54" s="1500"/>
      <c r="J54" s="1385" t="s">
        <v>2186</v>
      </c>
    </row>
    <row r="55" spans="1:10" ht="14.25">
      <c r="A55" s="1445"/>
      <c r="B55" s="12" t="s">
        <v>138</v>
      </c>
      <c r="C55" s="1485"/>
      <c r="D55" s="1483"/>
      <c r="E55" s="1499"/>
      <c r="F55" s="1476"/>
      <c r="G55" s="1476"/>
      <c r="H55" s="1476"/>
      <c r="I55" s="1501"/>
      <c r="J55" s="1385" t="s">
        <v>2186</v>
      </c>
    </row>
    <row r="56" spans="1:10" ht="14.25" customHeight="1">
      <c r="A56" s="1445"/>
      <c r="B56" s="20" t="s">
        <v>139</v>
      </c>
      <c r="C56" s="1100">
        <f t="shared" si="1"/>
        <v>5.5555555555555552E-2</v>
      </c>
      <c r="D56" s="71">
        <v>1</v>
      </c>
      <c r="E56" s="1378"/>
      <c r="F56" s="1378"/>
      <c r="G56" s="1378"/>
      <c r="H56" s="1378"/>
      <c r="I56" s="1273">
        <f>'OR10-资金运用'!M56</f>
        <v>1</v>
      </c>
      <c r="J56" s="1385" t="s">
        <v>2186</v>
      </c>
    </row>
    <row r="57" spans="1:10" ht="16.5">
      <c r="A57" s="1445"/>
      <c r="B57" s="20" t="s">
        <v>140</v>
      </c>
      <c r="C57" s="1100">
        <f t="shared" si="1"/>
        <v>5.5555555555555552E-2</v>
      </c>
      <c r="D57" s="71">
        <v>1</v>
      </c>
      <c r="E57" s="1378"/>
      <c r="F57" s="1378"/>
      <c r="G57" s="1378"/>
      <c r="H57" s="1378"/>
      <c r="I57" s="1273">
        <f>'OR10-资金运用'!M57</f>
        <v>1</v>
      </c>
      <c r="J57" s="1385" t="s">
        <v>2186</v>
      </c>
    </row>
    <row r="58" spans="1:10" ht="16.5">
      <c r="A58" s="1445"/>
      <c r="B58" s="20" t="s">
        <v>141</v>
      </c>
      <c r="C58" s="1100">
        <f t="shared" si="1"/>
        <v>5.5555555555555552E-2</v>
      </c>
      <c r="D58" s="71">
        <v>1</v>
      </c>
      <c r="E58" s="1378"/>
      <c r="F58" s="1378"/>
      <c r="G58" s="1378"/>
      <c r="H58" s="1378"/>
      <c r="I58" s="1273">
        <f>'OR10-资金运用'!M58</f>
        <v>1</v>
      </c>
      <c r="J58" s="1385" t="s">
        <v>2186</v>
      </c>
    </row>
    <row r="59" spans="1:10" ht="14.25" customHeight="1">
      <c r="A59" s="1445"/>
      <c r="B59" s="20" t="s">
        <v>142</v>
      </c>
      <c r="C59" s="1100">
        <f t="shared" si="1"/>
        <v>5.5555555555555552E-2</v>
      </c>
      <c r="D59" s="71">
        <v>2</v>
      </c>
      <c r="E59" s="1378"/>
      <c r="F59" s="1378"/>
      <c r="G59" s="1378"/>
      <c r="H59" s="1378"/>
      <c r="I59" s="1273">
        <f>'OR10-资金运用'!M59</f>
        <v>2</v>
      </c>
      <c r="J59" s="1385" t="s">
        <v>2186</v>
      </c>
    </row>
    <row r="60" spans="1:10" ht="16.5" customHeight="1">
      <c r="A60" s="1445"/>
      <c r="B60" s="20" t="s">
        <v>143</v>
      </c>
      <c r="C60" s="1100">
        <f t="shared" si="1"/>
        <v>5.5555555555555552E-2</v>
      </c>
      <c r="D60" s="71">
        <v>2</v>
      </c>
      <c r="E60" s="1378"/>
      <c r="F60" s="1378"/>
      <c r="G60" s="1378"/>
      <c r="H60" s="1378"/>
      <c r="I60" s="1273">
        <f>'OR10-资金运用'!M60</f>
        <v>2</v>
      </c>
      <c r="J60" s="1385" t="s">
        <v>2186</v>
      </c>
    </row>
    <row r="61" spans="1:10" ht="14.25" customHeight="1">
      <c r="A61" s="1445"/>
      <c r="B61" s="20" t="s">
        <v>144</v>
      </c>
      <c r="C61" s="1100">
        <f t="shared" si="1"/>
        <v>5.5555555555555552E-2</v>
      </c>
      <c r="D61" s="71">
        <v>3</v>
      </c>
      <c r="E61" s="1159">
        <f>'OR10-资金运用'!M61</f>
        <v>3</v>
      </c>
      <c r="F61" s="1150"/>
      <c r="G61" s="1150"/>
      <c r="H61" s="1150"/>
      <c r="I61" s="1275"/>
      <c r="J61" s="1385" t="s">
        <v>2186</v>
      </c>
    </row>
    <row r="62" spans="1:10" ht="16.5" customHeight="1" thickBot="1">
      <c r="A62" s="1446"/>
      <c r="B62" s="1123" t="s">
        <v>147</v>
      </c>
      <c r="C62" s="1124">
        <f t="shared" si="1"/>
        <v>5.5555555555555552E-2</v>
      </c>
      <c r="D62" s="1125">
        <v>2</v>
      </c>
      <c r="E62" s="1160">
        <f>'OR10-资金运用'!M62</f>
        <v>2</v>
      </c>
      <c r="F62" s="1151"/>
      <c r="G62" s="1151"/>
      <c r="H62" s="1151"/>
      <c r="I62" s="1276"/>
      <c r="J62" s="1386" t="s">
        <v>2186</v>
      </c>
    </row>
    <row r="63" spans="1:10" ht="16.5">
      <c r="A63" s="1486" t="s">
        <v>2230</v>
      </c>
      <c r="B63" s="1120" t="s">
        <v>2423</v>
      </c>
      <c r="C63" s="1121">
        <f>1/9</f>
        <v>0.1111111111111111</v>
      </c>
      <c r="D63" s="1122">
        <v>8</v>
      </c>
      <c r="E63" s="1149"/>
      <c r="F63" s="1154">
        <f>'OR15-准备金再保险'!K4*'OR15-准备金再保险'!H4</f>
        <v>6</v>
      </c>
      <c r="G63" s="1149"/>
      <c r="H63" s="1149"/>
      <c r="I63" s="1274"/>
      <c r="J63" s="1384" t="s">
        <v>2186</v>
      </c>
    </row>
    <row r="64" spans="1:10" ht="14.25" customHeight="1">
      <c r="A64" s="1487"/>
      <c r="B64" s="20" t="s">
        <v>201</v>
      </c>
      <c r="C64" s="1100">
        <f t="shared" ref="C64:C73" si="2">1/9</f>
        <v>0.1111111111111111</v>
      </c>
      <c r="D64" s="71">
        <v>9</v>
      </c>
      <c r="E64" s="1150"/>
      <c r="F64" s="1155">
        <f>'OR15-准备金再保险'!H7</f>
        <v>9</v>
      </c>
      <c r="G64" s="1150"/>
      <c r="H64" s="1150"/>
      <c r="I64" s="1275"/>
      <c r="J64" s="1385" t="s">
        <v>2186</v>
      </c>
    </row>
    <row r="65" spans="1:10" ht="16.5" customHeight="1">
      <c r="A65" s="1487"/>
      <c r="B65" s="20" t="s">
        <v>202</v>
      </c>
      <c r="C65" s="1100">
        <f t="shared" si="2"/>
        <v>0.1111111111111111</v>
      </c>
      <c r="D65" s="71">
        <v>9</v>
      </c>
      <c r="E65" s="1150"/>
      <c r="F65" s="1155">
        <f>'OR15-准备金再保险'!H8</f>
        <v>9</v>
      </c>
      <c r="G65" s="1150"/>
      <c r="H65" s="1150"/>
      <c r="I65" s="1275"/>
      <c r="J65" s="1385" t="s">
        <v>2186</v>
      </c>
    </row>
    <row r="66" spans="1:10" ht="16.5" customHeight="1">
      <c r="A66" s="1487"/>
      <c r="B66" s="20" t="s">
        <v>572</v>
      </c>
      <c r="C66" s="1100">
        <f t="shared" si="2"/>
        <v>0.1111111111111111</v>
      </c>
      <c r="D66" s="71">
        <v>9</v>
      </c>
      <c r="E66" s="1150"/>
      <c r="F66" s="1155">
        <f>'OR15-准备金再保险'!H9</f>
        <v>9</v>
      </c>
      <c r="G66" s="1150"/>
      <c r="H66" s="1150"/>
      <c r="I66" s="1275"/>
      <c r="J66" s="1385" t="s">
        <v>2186</v>
      </c>
    </row>
    <row r="67" spans="1:10" ht="16.5">
      <c r="A67" s="1487"/>
      <c r="B67" s="20" t="s">
        <v>205</v>
      </c>
      <c r="C67" s="1100">
        <f t="shared" si="2"/>
        <v>0.1111111111111111</v>
      </c>
      <c r="D67" s="71">
        <v>8</v>
      </c>
      <c r="E67" s="1150"/>
      <c r="F67" s="1155">
        <f>'OR15-准备金再保险'!M12</f>
        <v>8</v>
      </c>
      <c r="G67" s="1150"/>
      <c r="H67" s="1150"/>
      <c r="I67" s="1275"/>
      <c r="J67" s="1385" t="s">
        <v>2186</v>
      </c>
    </row>
    <row r="68" spans="1:10" ht="16.5">
      <c r="A68" s="1487"/>
      <c r="B68" s="20" t="s">
        <v>2103</v>
      </c>
      <c r="C68" s="1100">
        <f t="shared" si="2"/>
        <v>0.1111111111111111</v>
      </c>
      <c r="D68" s="71">
        <v>8</v>
      </c>
      <c r="E68" s="1150"/>
      <c r="F68" s="1155">
        <f>'OR15-准备金再保险'!M13</f>
        <v>8</v>
      </c>
      <c r="G68" s="1150"/>
      <c r="H68" s="1150"/>
      <c r="I68" s="1275"/>
      <c r="J68" s="1385" t="s">
        <v>2186</v>
      </c>
    </row>
    <row r="69" spans="1:10" ht="16.5">
      <c r="A69" s="1487"/>
      <c r="B69" s="20" t="s">
        <v>574</v>
      </c>
      <c r="C69" s="1100">
        <f t="shared" si="2"/>
        <v>0.1111111111111111</v>
      </c>
      <c r="D69" s="71">
        <v>10</v>
      </c>
      <c r="E69" s="1150"/>
      <c r="F69" s="1155">
        <f>'OR15-准备金再保险'!M14</f>
        <v>10</v>
      </c>
      <c r="G69" s="1150"/>
      <c r="H69" s="1150"/>
      <c r="I69" s="1275"/>
      <c r="J69" s="1385" t="s">
        <v>2186</v>
      </c>
    </row>
    <row r="70" spans="1:10" ht="14.25" customHeight="1">
      <c r="A70" s="1487"/>
      <c r="B70" s="20" t="s">
        <v>575</v>
      </c>
      <c r="C70" s="1100">
        <f t="shared" si="2"/>
        <v>0.1111111111111111</v>
      </c>
      <c r="D70" s="71">
        <v>10</v>
      </c>
      <c r="E70" s="1150"/>
      <c r="F70" s="1155">
        <f>'OR15-准备金再保险'!M15</f>
        <v>10</v>
      </c>
      <c r="G70" s="1150"/>
      <c r="H70" s="1150"/>
      <c r="I70" s="1275"/>
      <c r="J70" s="1385" t="s">
        <v>2186</v>
      </c>
    </row>
    <row r="71" spans="1:10" ht="16.5">
      <c r="A71" s="1487"/>
      <c r="B71" s="20" t="s">
        <v>576</v>
      </c>
      <c r="C71" s="1100">
        <f t="shared" si="2"/>
        <v>0.1111111111111111</v>
      </c>
      <c r="D71" s="71">
        <v>9</v>
      </c>
      <c r="E71" s="1150"/>
      <c r="F71" s="1155">
        <f>'OR15-准备金再保险'!M16</f>
        <v>9</v>
      </c>
      <c r="G71" s="1150"/>
      <c r="H71" s="1150"/>
      <c r="I71" s="1275"/>
      <c r="J71" s="1385" t="s">
        <v>2186</v>
      </c>
    </row>
    <row r="72" spans="1:10" ht="16.5">
      <c r="A72" s="1487"/>
      <c r="B72" s="20" t="s">
        <v>206</v>
      </c>
      <c r="C72" s="1100">
        <f t="shared" si="2"/>
        <v>0.1111111111111111</v>
      </c>
      <c r="D72" s="71">
        <v>10</v>
      </c>
      <c r="E72" s="1150"/>
      <c r="F72" s="1155">
        <f>'OR15-准备金再保险'!M17</f>
        <v>10</v>
      </c>
      <c r="G72" s="1150"/>
      <c r="H72" s="1150"/>
      <c r="I72" s="1275"/>
      <c r="J72" s="1385" t="s">
        <v>2186</v>
      </c>
    </row>
    <row r="73" spans="1:10" ht="13.5" customHeight="1" thickBot="1">
      <c r="A73" s="1488"/>
      <c r="B73" s="1123" t="s">
        <v>577</v>
      </c>
      <c r="C73" s="1124">
        <f t="shared" si="2"/>
        <v>0.1111111111111111</v>
      </c>
      <c r="D73" s="1125">
        <v>10</v>
      </c>
      <c r="E73" s="1151"/>
      <c r="F73" s="1391">
        <f>'OR15-准备金再保险'!M18</f>
        <v>10</v>
      </c>
      <c r="G73" s="1151"/>
      <c r="H73" s="1151"/>
      <c r="I73" s="1276"/>
      <c r="J73" s="1386" t="s">
        <v>2186</v>
      </c>
    </row>
    <row r="74" spans="1:10" ht="15" customHeight="1">
      <c r="A74" s="1478" t="s">
        <v>2237</v>
      </c>
      <c r="B74" s="1388" t="s">
        <v>2238</v>
      </c>
      <c r="C74" s="1382">
        <v>2.2222222222222223E-2</v>
      </c>
      <c r="D74" s="1389">
        <v>5</v>
      </c>
      <c r="E74" s="1379"/>
      <c r="F74" s="1379"/>
      <c r="G74" s="1381">
        <f>'OR13-分公司财务管理'!M4</f>
        <v>5</v>
      </c>
      <c r="H74" s="1390">
        <f>'OR13-分公司财务管理'!M4</f>
        <v>5</v>
      </c>
      <c r="I74" s="1377"/>
      <c r="J74" s="1383" t="s">
        <v>2186</v>
      </c>
    </row>
    <row r="75" spans="1:10" ht="16.5">
      <c r="A75" s="1445"/>
      <c r="B75" s="79" t="s">
        <v>2167</v>
      </c>
      <c r="C75" s="1100">
        <v>2.2222222222222223E-2</v>
      </c>
      <c r="D75" s="71">
        <v>2</v>
      </c>
      <c r="E75" s="1150"/>
      <c r="F75" s="1150"/>
      <c r="G75" s="1158">
        <f>'OR13-分公司财务管理'!M5</f>
        <v>1.6</v>
      </c>
      <c r="H75" s="1162">
        <f>'OR13-分公司财务管理'!M5</f>
        <v>1.6</v>
      </c>
      <c r="I75" s="1275"/>
      <c r="J75" s="1279" t="s">
        <v>2186</v>
      </c>
    </row>
    <row r="76" spans="1:10" ht="16.5">
      <c r="A76" s="1445"/>
      <c r="B76" s="79" t="s">
        <v>2239</v>
      </c>
      <c r="C76" s="1100">
        <v>2.2222222222222223E-2</v>
      </c>
      <c r="D76" s="71">
        <v>2</v>
      </c>
      <c r="E76" s="1150"/>
      <c r="F76" s="1150"/>
      <c r="G76" s="1158">
        <v>2</v>
      </c>
      <c r="H76" s="1162">
        <v>2</v>
      </c>
      <c r="I76" s="1275"/>
      <c r="J76" s="1279" t="s">
        <v>2187</v>
      </c>
    </row>
    <row r="77" spans="1:10" ht="16.5">
      <c r="A77" s="1445"/>
      <c r="B77" s="79" t="s">
        <v>55</v>
      </c>
      <c r="C77" s="1100">
        <v>2.2222222222222223E-2</v>
      </c>
      <c r="D77" s="71">
        <v>2</v>
      </c>
      <c r="E77" s="1150"/>
      <c r="F77" s="1150"/>
      <c r="G77" s="1158">
        <f>'OR13-分公司财务管理'!M12</f>
        <v>2</v>
      </c>
      <c r="H77" s="1162">
        <f>'OR13-分公司财务管理'!M12</f>
        <v>2</v>
      </c>
      <c r="I77" s="1275"/>
      <c r="J77" s="1279" t="s">
        <v>2186</v>
      </c>
    </row>
    <row r="78" spans="1:10" ht="16.5">
      <c r="A78" s="1445"/>
      <c r="B78" s="79" t="s">
        <v>1400</v>
      </c>
      <c r="C78" s="1100">
        <v>2.2222222222222223E-2</v>
      </c>
      <c r="D78" s="71">
        <v>2</v>
      </c>
      <c r="E78" s="1150"/>
      <c r="F78" s="1150"/>
      <c r="G78" s="1158">
        <f>'OR13-分公司财务管理'!M15</f>
        <v>2</v>
      </c>
      <c r="H78" s="1150"/>
      <c r="I78" s="1275"/>
      <c r="J78" s="1279" t="s">
        <v>2186</v>
      </c>
    </row>
    <row r="79" spans="1:10" ht="16.5">
      <c r="A79" s="1445"/>
      <c r="B79" s="79" t="s">
        <v>158</v>
      </c>
      <c r="C79" s="1100">
        <v>2.2222222222222223E-2</v>
      </c>
      <c r="D79" s="71">
        <v>2</v>
      </c>
      <c r="E79" s="1150"/>
      <c r="F79" s="1150"/>
      <c r="G79" s="1158">
        <f>'OR13-分公司财务管理'!M16</f>
        <v>2</v>
      </c>
      <c r="H79" s="1162">
        <f>'OR13-分公司财务管理'!M16</f>
        <v>2</v>
      </c>
      <c r="I79" s="1275"/>
      <c r="J79" s="1279" t="s">
        <v>2186</v>
      </c>
    </row>
    <row r="80" spans="1:10" ht="16.5">
      <c r="A80" s="1445"/>
      <c r="B80" s="1468" t="s">
        <v>2170</v>
      </c>
      <c r="D80" s="71"/>
      <c r="E80" s="1150"/>
      <c r="F80" s="1150"/>
      <c r="G80" s="1150"/>
      <c r="H80" s="1150"/>
      <c r="I80" s="1275"/>
      <c r="J80" s="1279" t="s">
        <v>2186</v>
      </c>
    </row>
    <row r="81" spans="1:10" ht="16.5">
      <c r="A81" s="1445"/>
      <c r="B81" s="1469"/>
      <c r="C81" s="1109">
        <v>2.2222222222222223E-2</v>
      </c>
      <c r="D81" s="71">
        <v>4</v>
      </c>
      <c r="E81" s="1150"/>
      <c r="F81" s="1150"/>
      <c r="G81" s="1150"/>
      <c r="H81" s="1162">
        <f>'OR13-分公司财务管理'!M17</f>
        <v>4</v>
      </c>
      <c r="I81" s="1275"/>
      <c r="J81" s="1279" t="s">
        <v>2186</v>
      </c>
    </row>
    <row r="82" spans="1:10" ht="16.5">
      <c r="A82" s="1445"/>
      <c r="B82" s="1468" t="s">
        <v>2171</v>
      </c>
      <c r="C82" s="1100"/>
      <c r="D82" s="71"/>
      <c r="E82" s="1150"/>
      <c r="F82" s="1150"/>
      <c r="G82" s="1150"/>
      <c r="H82" s="1150"/>
      <c r="I82" s="1275"/>
      <c r="J82" s="1279" t="s">
        <v>2186</v>
      </c>
    </row>
    <row r="83" spans="1:10" ht="16.5">
      <c r="A83" s="1445"/>
      <c r="B83" s="1469"/>
      <c r="C83" s="1100">
        <v>2.2222222222222223E-2</v>
      </c>
      <c r="D83" s="71">
        <v>6</v>
      </c>
      <c r="E83" s="1150"/>
      <c r="F83" s="1150"/>
      <c r="G83" s="1150"/>
      <c r="H83" s="1162">
        <f>'OR13-分公司财务管理'!M20</f>
        <v>6</v>
      </c>
      <c r="I83" s="1275"/>
      <c r="J83" s="1279" t="s">
        <v>2186</v>
      </c>
    </row>
    <row r="84" spans="1:10" ht="16.5">
      <c r="A84" s="1445"/>
      <c r="B84" s="79" t="s">
        <v>172</v>
      </c>
      <c r="C84" s="1100">
        <v>2.2222222222222223E-2</v>
      </c>
      <c r="D84" s="71">
        <v>1</v>
      </c>
      <c r="E84" s="1150"/>
      <c r="F84" s="1150"/>
      <c r="G84" s="1158">
        <f>'OR13-分公司财务管理'!M22</f>
        <v>0.9</v>
      </c>
      <c r="H84" s="1150"/>
      <c r="I84" s="1275"/>
      <c r="J84" s="1279" t="s">
        <v>2186</v>
      </c>
    </row>
    <row r="85" spans="1:10" ht="16.5">
      <c r="A85" s="1445"/>
      <c r="B85" s="79" t="s">
        <v>1420</v>
      </c>
      <c r="C85" s="1100">
        <v>2.2222222222222223E-2</v>
      </c>
      <c r="D85" s="71">
        <v>3</v>
      </c>
      <c r="E85" s="1150"/>
      <c r="F85" s="1150"/>
      <c r="G85" s="1150"/>
      <c r="H85" s="1162">
        <f>'OR13-分公司财务管理'!M23</f>
        <v>3</v>
      </c>
      <c r="I85" s="1275"/>
      <c r="J85" s="1279" t="s">
        <v>2186</v>
      </c>
    </row>
    <row r="86" spans="1:10" ht="16.5">
      <c r="A86" s="1445"/>
      <c r="B86" s="79" t="s">
        <v>1427</v>
      </c>
      <c r="C86" s="1100">
        <v>2.2222222222222223E-2</v>
      </c>
      <c r="D86" s="71">
        <v>3</v>
      </c>
      <c r="E86" s="1150"/>
      <c r="F86" s="1150"/>
      <c r="G86" s="1150"/>
      <c r="H86" s="1162">
        <f>'OR13-分公司财务管理'!M28</f>
        <v>3</v>
      </c>
      <c r="I86" s="1275"/>
      <c r="J86" s="1279" t="s">
        <v>2186</v>
      </c>
    </row>
    <row r="87" spans="1:10" ht="16.5">
      <c r="A87" s="1445"/>
      <c r="B87" s="79" t="s">
        <v>2240</v>
      </c>
      <c r="C87" s="1100">
        <v>2.2222222222222223E-2</v>
      </c>
      <c r="D87" s="71">
        <v>3</v>
      </c>
      <c r="E87" s="1150"/>
      <c r="F87" s="1150"/>
      <c r="G87" s="1150"/>
      <c r="H87" s="1162">
        <f>'OR13-分公司财务管理'!M32</f>
        <v>2.7</v>
      </c>
      <c r="I87" s="1275"/>
      <c r="J87" s="1279" t="s">
        <v>2186</v>
      </c>
    </row>
    <row r="88" spans="1:10" ht="16.5">
      <c r="A88" s="1445"/>
      <c r="B88" s="1468" t="s">
        <v>2241</v>
      </c>
      <c r="C88" s="1100"/>
      <c r="D88" s="71"/>
      <c r="E88" s="1150"/>
      <c r="F88" s="1150"/>
      <c r="G88" s="1158">
        <f>'OR13-分公司财务管理'!L36*10</f>
        <v>1</v>
      </c>
      <c r="H88" s="1150"/>
      <c r="I88" s="1275"/>
      <c r="J88" s="1279" t="s">
        <v>2190</v>
      </c>
    </row>
    <row r="89" spans="1:10" ht="16.5">
      <c r="A89" s="1445"/>
      <c r="B89" s="1469"/>
      <c r="C89" s="1100">
        <v>2.2222222222222223E-2</v>
      </c>
      <c r="D89" s="71">
        <v>10</v>
      </c>
      <c r="E89" s="1150"/>
      <c r="F89" s="1150"/>
      <c r="G89" s="1158">
        <f>'OR13-分公司财务管理'!M35</f>
        <v>9.9499999999999993</v>
      </c>
      <c r="H89" s="1150"/>
      <c r="I89" s="1275"/>
      <c r="J89" s="1279" t="s">
        <v>2186</v>
      </c>
    </row>
    <row r="90" spans="1:10" ht="16.5">
      <c r="A90" s="1445"/>
      <c r="B90" s="79" t="s">
        <v>1439</v>
      </c>
      <c r="C90" s="1100">
        <v>2.2222222222222223E-2</v>
      </c>
      <c r="D90" s="71">
        <v>3</v>
      </c>
      <c r="E90" s="1150"/>
      <c r="F90" s="1150"/>
      <c r="G90" s="1158">
        <f>'OR13-分公司财务管理'!M37</f>
        <v>3</v>
      </c>
      <c r="H90" s="1150"/>
      <c r="I90" s="1275"/>
      <c r="J90" s="1279" t="s">
        <v>2186</v>
      </c>
    </row>
    <row r="91" spans="1:10" ht="16.5">
      <c r="A91" s="1445"/>
      <c r="B91" s="1468" t="s">
        <v>2242</v>
      </c>
      <c r="C91" s="1100"/>
      <c r="D91" s="71"/>
      <c r="E91" s="1150"/>
      <c r="F91" s="1150"/>
      <c r="G91" s="1150"/>
      <c r="H91" s="1162">
        <f>'OR13-分公司财务管理'!L39*10</f>
        <v>4</v>
      </c>
      <c r="I91" s="1275"/>
      <c r="J91" s="1279" t="s">
        <v>2190</v>
      </c>
    </row>
    <row r="92" spans="1:10" ht="16.5">
      <c r="A92" s="1445"/>
      <c r="B92" s="1469"/>
      <c r="C92" s="1100">
        <v>2.2222222222222223E-2</v>
      </c>
      <c r="D92" s="71">
        <v>12</v>
      </c>
      <c r="E92" s="1150"/>
      <c r="F92" s="1150"/>
      <c r="G92" s="1150"/>
      <c r="H92" s="1162">
        <f>'OR13-分公司财务管理'!M38</f>
        <v>11.8</v>
      </c>
      <c r="I92" s="1275"/>
      <c r="J92" s="1279" t="s">
        <v>2186</v>
      </c>
    </row>
    <row r="93" spans="1:10" ht="16.5">
      <c r="A93" s="1445"/>
      <c r="B93" s="79" t="s">
        <v>2175</v>
      </c>
      <c r="C93" s="1100">
        <v>2.2222222222222223E-2</v>
      </c>
      <c r="D93" s="71">
        <v>2</v>
      </c>
      <c r="E93" s="1150"/>
      <c r="F93" s="1150"/>
      <c r="G93" s="1158">
        <f>'OR13-分公司财务管理'!M40</f>
        <v>1.4</v>
      </c>
      <c r="H93" s="1150"/>
      <c r="I93" s="1275"/>
      <c r="J93" s="1279" t="s">
        <v>2186</v>
      </c>
    </row>
    <row r="94" spans="1:10" ht="16.5">
      <c r="A94" s="1445"/>
      <c r="B94" s="79" t="s">
        <v>1446</v>
      </c>
      <c r="C94" s="1100">
        <v>2.2222222222222223E-2</v>
      </c>
      <c r="D94" s="71">
        <v>2</v>
      </c>
      <c r="E94" s="1150"/>
      <c r="F94" s="1150"/>
      <c r="G94" s="1158">
        <f>'OR13-分公司财务管理'!M43</f>
        <v>2</v>
      </c>
      <c r="H94" s="1150"/>
      <c r="I94" s="1275"/>
      <c r="J94" s="1279" t="s">
        <v>2186</v>
      </c>
    </row>
    <row r="95" spans="1:10" ht="16.5">
      <c r="A95" s="1445"/>
      <c r="B95" s="1468" t="s">
        <v>2243</v>
      </c>
      <c r="C95" s="1100"/>
      <c r="D95" s="71"/>
      <c r="E95" s="1150"/>
      <c r="F95" s="1150"/>
      <c r="G95" s="1158">
        <f>'OR13-分公司财务管理'!L47</f>
        <v>0</v>
      </c>
      <c r="H95" s="1162">
        <f>'OR13-分公司财务管理'!L47</f>
        <v>0</v>
      </c>
      <c r="I95" s="1275"/>
      <c r="J95" s="1279" t="s">
        <v>2186</v>
      </c>
    </row>
    <row r="96" spans="1:10" ht="16.5">
      <c r="A96" s="1445"/>
      <c r="B96" s="1469"/>
      <c r="C96" s="1100">
        <v>2.2222222222222223E-2</v>
      </c>
      <c r="D96" s="71">
        <v>6</v>
      </c>
      <c r="E96" s="1150"/>
      <c r="F96" s="1150"/>
      <c r="G96" s="1158">
        <f>'OR13-分公司财务管理'!M46</f>
        <v>6</v>
      </c>
      <c r="H96" s="1162">
        <f>'OR13-分公司财务管理'!M46</f>
        <v>6</v>
      </c>
      <c r="I96" s="1275"/>
      <c r="J96" s="1279" t="s">
        <v>2186</v>
      </c>
    </row>
    <row r="97" spans="1:10" ht="16.5">
      <c r="A97" s="1445"/>
      <c r="B97" s="1468" t="s">
        <v>183</v>
      </c>
      <c r="C97" s="1100"/>
      <c r="D97" s="71"/>
      <c r="E97" s="1150"/>
      <c r="F97" s="1150"/>
      <c r="G97" s="1150"/>
      <c r="H97" s="1162">
        <f>'OR13-分公司财务管理'!L48</f>
        <v>0</v>
      </c>
      <c r="I97" s="1275"/>
      <c r="J97" s="1279" t="s">
        <v>2186</v>
      </c>
    </row>
    <row r="98" spans="1:10" ht="16.5">
      <c r="A98" s="1445"/>
      <c r="B98" s="1469"/>
      <c r="C98" s="1100">
        <v>2.2222222222222223E-2</v>
      </c>
      <c r="D98" s="71">
        <v>5</v>
      </c>
      <c r="E98" s="1150"/>
      <c r="F98" s="1150"/>
      <c r="G98" s="1150"/>
      <c r="H98" s="1162">
        <f>'OR13-分公司财务管理'!M48</f>
        <v>5</v>
      </c>
      <c r="I98" s="1275"/>
      <c r="J98" s="1279" t="s">
        <v>2186</v>
      </c>
    </row>
    <row r="99" spans="1:10" ht="16.5">
      <c r="A99" s="1445"/>
      <c r="B99" s="79" t="s">
        <v>2244</v>
      </c>
      <c r="C99" s="1100">
        <v>2.2222222222222223E-2</v>
      </c>
      <c r="D99" s="71">
        <v>0</v>
      </c>
      <c r="E99" s="1153"/>
      <c r="F99" s="1153"/>
      <c r="G99" s="1153"/>
      <c r="H99" s="1153"/>
      <c r="I99" s="1277"/>
      <c r="J99" s="1279" t="s">
        <v>2186</v>
      </c>
    </row>
    <row r="100" spans="1:10" ht="16.5">
      <c r="A100" s="1445"/>
      <c r="B100" s="79" t="s">
        <v>2162</v>
      </c>
      <c r="C100" s="1100">
        <v>2.2222222222222223E-2</v>
      </c>
      <c r="D100" s="71">
        <v>3</v>
      </c>
      <c r="E100" s="1150"/>
      <c r="F100" s="1150"/>
      <c r="G100" s="1158">
        <f>'OR13-分公司财务管理'!M50</f>
        <v>3</v>
      </c>
      <c r="H100" s="1162">
        <f>'OR13-分公司财务管理'!M50</f>
        <v>3</v>
      </c>
      <c r="I100" s="1273">
        <f>'OR13-分公司财务管理'!M50</f>
        <v>3</v>
      </c>
      <c r="J100" s="1279" t="s">
        <v>2186</v>
      </c>
    </row>
    <row r="101" spans="1:10" ht="16.5">
      <c r="A101" s="1445"/>
      <c r="B101" s="79" t="s">
        <v>2163</v>
      </c>
      <c r="C101" s="1100">
        <v>2.2222222222222223E-2</v>
      </c>
      <c r="D101" s="71">
        <v>2</v>
      </c>
      <c r="E101" s="1150"/>
      <c r="F101" s="1150"/>
      <c r="G101" s="1158">
        <f>'OR13-分公司财务管理'!M52</f>
        <v>2</v>
      </c>
      <c r="H101" s="1162">
        <f>'OR13-分公司财务管理'!M52</f>
        <v>2</v>
      </c>
      <c r="I101" s="1273">
        <f>'OR13-分公司财务管理'!M52</f>
        <v>2</v>
      </c>
      <c r="J101" s="1279" t="s">
        <v>2186</v>
      </c>
    </row>
    <row r="102" spans="1:10" ht="17.25" thickBot="1">
      <c r="A102" s="1479"/>
      <c r="B102" s="1259" t="s">
        <v>2245</v>
      </c>
      <c r="C102" s="1373">
        <v>2.2222222222222223E-2</v>
      </c>
      <c r="D102" s="1375">
        <v>10</v>
      </c>
      <c r="E102" s="1378"/>
      <c r="F102" s="1378"/>
      <c r="G102" s="1380">
        <f>MAX(10-1*(G80+G82+G88+G91+G95+G97),0)</f>
        <v>9</v>
      </c>
      <c r="H102" s="1392">
        <f>MAX(10-1*(H80+H82+H88+H91+H95+H97),0)</f>
        <v>6</v>
      </c>
      <c r="I102" s="1376"/>
      <c r="J102" s="1393" t="s">
        <v>2306</v>
      </c>
    </row>
    <row r="103" spans="1:10" ht="16.5" customHeight="1">
      <c r="A103" s="1470" t="s">
        <v>2247</v>
      </c>
      <c r="B103" s="1167" t="s">
        <v>2093</v>
      </c>
      <c r="C103" s="1121">
        <f>60%*(1/18)</f>
        <v>3.3333333333333333E-2</v>
      </c>
      <c r="D103" s="1122">
        <v>6</v>
      </c>
      <c r="E103" s="1149"/>
      <c r="F103" s="1149"/>
      <c r="G103" s="1168">
        <v>6</v>
      </c>
      <c r="H103" s="1161">
        <v>6</v>
      </c>
      <c r="I103" s="1274"/>
      <c r="J103" s="1384" t="s">
        <v>2307</v>
      </c>
    </row>
    <row r="104" spans="1:10" ht="16.5">
      <c r="A104" s="1471"/>
      <c r="B104" s="1372" t="s">
        <v>238</v>
      </c>
      <c r="C104" s="1100">
        <f t="shared" ref="C104:C136" si="3">60%*(1/18)</f>
        <v>3.3333333333333333E-2</v>
      </c>
      <c r="D104" s="71">
        <v>4</v>
      </c>
      <c r="E104" s="1150"/>
      <c r="F104" s="1150"/>
      <c r="G104" s="1165">
        <f>'OR12-财务管理'!$P$6</f>
        <v>4</v>
      </c>
      <c r="H104" s="1162">
        <f>'OR12-财务管理'!$P$6</f>
        <v>4</v>
      </c>
      <c r="I104" s="1275"/>
      <c r="J104" s="1385" t="s">
        <v>2186</v>
      </c>
    </row>
    <row r="105" spans="1:10" ht="16.5">
      <c r="A105" s="1471"/>
      <c r="B105" s="1372" t="s">
        <v>2113</v>
      </c>
      <c r="C105" s="1374">
        <f t="shared" si="3"/>
        <v>3.3333333333333333E-2</v>
      </c>
      <c r="D105" s="71">
        <v>2</v>
      </c>
      <c r="E105" s="1150"/>
      <c r="F105" s="1150"/>
      <c r="G105" s="1165">
        <f>'OR12-财务管理'!P7</f>
        <v>2</v>
      </c>
      <c r="H105" s="1162">
        <f>'OR12-财务管理'!P7</f>
        <v>2</v>
      </c>
      <c r="I105" s="1275"/>
      <c r="J105" s="1385" t="s">
        <v>2186</v>
      </c>
    </row>
    <row r="106" spans="1:10" ht="16.5">
      <c r="A106" s="1471"/>
      <c r="B106" s="1372" t="s">
        <v>2115</v>
      </c>
      <c r="C106" s="1100">
        <f t="shared" si="3"/>
        <v>3.3333333333333333E-2</v>
      </c>
      <c r="D106" s="71">
        <v>4</v>
      </c>
      <c r="E106" s="1150"/>
      <c r="F106" s="1150"/>
      <c r="G106" s="1158">
        <f>'OR12-财务管理'!$P$11</f>
        <v>4</v>
      </c>
      <c r="H106" s="1162">
        <f>'OR12-财务管理'!$P$11</f>
        <v>4</v>
      </c>
      <c r="I106" s="1275"/>
      <c r="J106" s="1385" t="s">
        <v>2186</v>
      </c>
    </row>
    <row r="107" spans="1:10" ht="16.5">
      <c r="A107" s="1471"/>
      <c r="B107" s="20" t="s">
        <v>158</v>
      </c>
      <c r="C107" s="1374">
        <f t="shared" si="3"/>
        <v>3.3333333333333333E-2</v>
      </c>
      <c r="D107" s="71">
        <v>4</v>
      </c>
      <c r="E107" s="1150"/>
      <c r="F107" s="1150"/>
      <c r="G107" s="1158">
        <f>'OR12-财务管理'!P14</f>
        <v>4</v>
      </c>
      <c r="H107" s="1162">
        <f>G107</f>
        <v>4</v>
      </c>
      <c r="I107" s="1275"/>
      <c r="J107" s="1385" t="s">
        <v>2186</v>
      </c>
    </row>
    <row r="108" spans="1:10" ht="16.5">
      <c r="A108" s="1471"/>
      <c r="B108" s="20" t="s">
        <v>71</v>
      </c>
      <c r="C108" s="1100">
        <f t="shared" si="3"/>
        <v>3.3333333333333333E-2</v>
      </c>
      <c r="D108" s="71">
        <v>5</v>
      </c>
      <c r="E108" s="1150"/>
      <c r="F108" s="1150"/>
      <c r="G108" s="1158">
        <f>'OR12-财务管理'!P15</f>
        <v>5</v>
      </c>
      <c r="H108" s="1162">
        <f>G108</f>
        <v>5</v>
      </c>
      <c r="I108" s="1275"/>
      <c r="J108" s="1385" t="s">
        <v>2186</v>
      </c>
    </row>
    <row r="109" spans="1:10" ht="16.5">
      <c r="A109" s="1471"/>
      <c r="B109" s="20" t="s">
        <v>163</v>
      </c>
      <c r="C109" s="1100">
        <f t="shared" si="3"/>
        <v>3.3333333333333333E-2</v>
      </c>
      <c r="D109" s="71">
        <v>1</v>
      </c>
      <c r="E109" s="1150"/>
      <c r="F109" s="1150"/>
      <c r="G109" s="1150"/>
      <c r="H109" s="1162">
        <f>'OR12-财务管理'!P16</f>
        <v>1</v>
      </c>
      <c r="I109" s="1275"/>
      <c r="J109" s="1385" t="s">
        <v>2186</v>
      </c>
    </row>
    <row r="110" spans="1:10" ht="16.5">
      <c r="A110" s="1471"/>
      <c r="B110" s="1468" t="s">
        <v>166</v>
      </c>
      <c r="C110" s="1100"/>
      <c r="D110" s="71"/>
      <c r="E110" s="1150"/>
      <c r="F110" s="1150"/>
      <c r="G110" s="1150"/>
      <c r="H110" s="1162">
        <f>'OR12-财务管理'!M17</f>
        <v>0</v>
      </c>
      <c r="I110" s="1275"/>
      <c r="J110" s="1385" t="s">
        <v>2308</v>
      </c>
    </row>
    <row r="111" spans="1:10" ht="16.5">
      <c r="A111" s="1471"/>
      <c r="B111" s="1469"/>
      <c r="C111" s="1100">
        <f t="shared" si="3"/>
        <v>3.3333333333333333E-2</v>
      </c>
      <c r="D111" s="71">
        <v>4</v>
      </c>
      <c r="E111" s="1150"/>
      <c r="F111" s="1150"/>
      <c r="G111" s="1150"/>
      <c r="H111" s="1162">
        <f>'OR12-财务管理'!P17</f>
        <v>4</v>
      </c>
      <c r="I111" s="1275"/>
      <c r="J111" s="1385" t="s">
        <v>2186</v>
      </c>
    </row>
    <row r="112" spans="1:10" ht="16.5">
      <c r="A112" s="1471"/>
      <c r="B112" s="20" t="s">
        <v>167</v>
      </c>
      <c r="C112" s="1100">
        <f t="shared" si="3"/>
        <v>3.3333333333333333E-2</v>
      </c>
      <c r="D112" s="71">
        <v>1</v>
      </c>
      <c r="E112" s="1150"/>
      <c r="F112" s="1150"/>
      <c r="G112" s="1158">
        <f>'OR12-财务管理'!P18</f>
        <v>1</v>
      </c>
      <c r="H112" s="1150"/>
      <c r="I112" s="1275"/>
      <c r="J112" s="1385" t="s">
        <v>2186</v>
      </c>
    </row>
    <row r="113" spans="1:10" ht="16.5">
      <c r="A113" s="1471"/>
      <c r="B113" s="1468" t="s">
        <v>170</v>
      </c>
      <c r="C113" s="1100"/>
      <c r="D113" s="71"/>
      <c r="E113" s="1150"/>
      <c r="F113" s="1150"/>
      <c r="G113" s="1158">
        <f>'OR12-财务管理'!N19</f>
        <v>0</v>
      </c>
      <c r="H113" s="1150"/>
      <c r="I113" s="1275"/>
      <c r="J113" s="1385" t="str">
        <f>J110</f>
        <v>IRR指标</v>
      </c>
    </row>
    <row r="114" spans="1:10" ht="16.5">
      <c r="A114" s="1471"/>
      <c r="B114" s="1469"/>
      <c r="C114" s="1100">
        <f t="shared" si="3"/>
        <v>3.3333333333333333E-2</v>
      </c>
      <c r="D114" s="71">
        <v>5</v>
      </c>
      <c r="E114" s="1150"/>
      <c r="F114" s="1150"/>
      <c r="G114" s="1158">
        <f>'OR12-财务管理'!P19</f>
        <v>5</v>
      </c>
      <c r="H114" s="1150"/>
      <c r="I114" s="1275"/>
      <c r="J114" s="1385" t="s">
        <v>2186</v>
      </c>
    </row>
    <row r="115" spans="1:10" ht="16.5">
      <c r="A115" s="1471"/>
      <c r="B115" s="1468" t="s">
        <v>171</v>
      </c>
      <c r="C115" s="1100"/>
      <c r="D115" s="71"/>
      <c r="E115" s="1150"/>
      <c r="F115" s="1150"/>
      <c r="G115" s="1150"/>
      <c r="H115" s="1162">
        <f>'OR12-财务管理'!N20</f>
        <v>0</v>
      </c>
      <c r="I115" s="1275"/>
      <c r="J115" s="1385" t="str">
        <f>J113</f>
        <v>IRR指标</v>
      </c>
    </row>
    <row r="116" spans="1:10" ht="16.5">
      <c r="A116" s="1471"/>
      <c r="B116" s="1469"/>
      <c r="C116" s="1100">
        <f t="shared" si="3"/>
        <v>3.3333333333333333E-2</v>
      </c>
      <c r="D116" s="71">
        <v>5</v>
      </c>
      <c r="E116" s="1150"/>
      <c r="F116" s="1150"/>
      <c r="G116" s="1150"/>
      <c r="H116" s="1162">
        <f>'OR12-财务管理'!P19</f>
        <v>5</v>
      </c>
      <c r="I116" s="1275"/>
      <c r="J116" s="1385" t="s">
        <v>2186</v>
      </c>
    </row>
    <row r="117" spans="1:10" ht="16.5">
      <c r="A117" s="1471"/>
      <c r="B117" s="20" t="s">
        <v>240</v>
      </c>
      <c r="C117" s="1100">
        <f t="shared" si="3"/>
        <v>3.3333333333333333E-2</v>
      </c>
      <c r="D117" s="71">
        <v>1</v>
      </c>
      <c r="E117" s="1150"/>
      <c r="F117" s="1150"/>
      <c r="G117" s="1158">
        <f>'OR12-财务管理'!P21</f>
        <v>1</v>
      </c>
      <c r="H117" s="1150"/>
      <c r="I117" s="1275"/>
      <c r="J117" s="1385" t="s">
        <v>2186</v>
      </c>
    </row>
    <row r="118" spans="1:10" ht="16.5">
      <c r="A118" s="1471"/>
      <c r="B118" s="20" t="s">
        <v>172</v>
      </c>
      <c r="C118" s="1100">
        <f t="shared" si="3"/>
        <v>3.3333333333333333E-2</v>
      </c>
      <c r="D118" s="71">
        <v>1</v>
      </c>
      <c r="E118" s="1150"/>
      <c r="F118" s="1150"/>
      <c r="G118" s="1158">
        <f>'OR12-财务管理'!P22</f>
        <v>1</v>
      </c>
      <c r="H118" s="1150"/>
      <c r="I118" s="1275"/>
      <c r="J118" s="1385" t="s">
        <v>2186</v>
      </c>
    </row>
    <row r="119" spans="1:10" ht="16.5">
      <c r="A119" s="1471"/>
      <c r="B119" s="1468" t="s">
        <v>2094</v>
      </c>
      <c r="C119" s="1100"/>
      <c r="D119" s="71"/>
      <c r="E119" s="1150"/>
      <c r="F119" s="1150"/>
      <c r="G119" s="1158">
        <f>'OR12-财务管理'!N23</f>
        <v>1</v>
      </c>
      <c r="H119" s="1162">
        <f>G119</f>
        <v>1</v>
      </c>
      <c r="I119" s="1275"/>
      <c r="J119" s="1385" t="str">
        <f>J115</f>
        <v>IRR指标</v>
      </c>
    </row>
    <row r="120" spans="1:10" ht="16.5">
      <c r="A120" s="1471"/>
      <c r="B120" s="1469"/>
      <c r="C120" s="1100">
        <f t="shared" si="3"/>
        <v>3.3333333333333333E-2</v>
      </c>
      <c r="D120" s="71">
        <v>4</v>
      </c>
      <c r="E120" s="1150"/>
      <c r="F120" s="1150"/>
      <c r="G120" s="1158">
        <f>'OR12-财务管理'!P23</f>
        <v>2</v>
      </c>
      <c r="H120" s="1162">
        <f>G120</f>
        <v>2</v>
      </c>
      <c r="I120" s="1275"/>
      <c r="J120" s="1385" t="s">
        <v>2186</v>
      </c>
    </row>
    <row r="121" spans="1:10" ht="16.5">
      <c r="A121" s="1471"/>
      <c r="B121" s="20" t="s">
        <v>241</v>
      </c>
      <c r="C121" s="1100">
        <f t="shared" si="3"/>
        <v>3.3333333333333333E-2</v>
      </c>
      <c r="D121" s="71">
        <v>1</v>
      </c>
      <c r="E121" s="1150"/>
      <c r="F121" s="1150"/>
      <c r="G121" s="1158">
        <f>'OR12-财务管理'!P24</f>
        <v>1</v>
      </c>
      <c r="H121" s="1150"/>
      <c r="I121" s="1275"/>
      <c r="J121" s="1385" t="s">
        <v>2186</v>
      </c>
    </row>
    <row r="122" spans="1:10" ht="16.5">
      <c r="A122" s="1471"/>
      <c r="B122" s="479" t="s">
        <v>2101</v>
      </c>
      <c r="C122" s="1100">
        <f>60%*(1/18)</f>
        <v>3.3333333333333333E-2</v>
      </c>
      <c r="D122" s="71">
        <v>3</v>
      </c>
      <c r="E122" s="1150"/>
      <c r="F122" s="1150"/>
      <c r="G122" s="1158">
        <f>'OR12-财务管理'!P25</f>
        <v>0</v>
      </c>
      <c r="H122" s="1150"/>
      <c r="I122" s="1275"/>
      <c r="J122" s="1385" t="s">
        <v>2186</v>
      </c>
    </row>
    <row r="123" spans="1:10" ht="16.5">
      <c r="A123" s="1471"/>
      <c r="B123" s="20" t="s">
        <v>242</v>
      </c>
      <c r="C123" s="1100">
        <f t="shared" si="3"/>
        <v>3.3333333333333333E-2</v>
      </c>
      <c r="D123" s="71">
        <v>1</v>
      </c>
      <c r="E123" s="1150"/>
      <c r="F123" s="1150"/>
      <c r="G123" s="1150"/>
      <c r="H123" s="1162">
        <f>'OR12-财务管理'!P28</f>
        <v>1</v>
      </c>
      <c r="I123" s="1275"/>
      <c r="J123" s="1385" t="s">
        <v>2186</v>
      </c>
    </row>
    <row r="124" spans="1:10" ht="16.5">
      <c r="A124" s="1471"/>
      <c r="B124" s="1468" t="s">
        <v>179</v>
      </c>
      <c r="C124" s="1100"/>
      <c r="D124" s="71"/>
      <c r="E124" s="1150"/>
      <c r="F124" s="1150"/>
      <c r="G124" s="1150"/>
      <c r="H124" s="1162">
        <f>'OR12-财务管理'!N29</f>
        <v>0</v>
      </c>
      <c r="I124" s="1275"/>
      <c r="J124" s="1385" t="str">
        <f>J119</f>
        <v>IRR指标</v>
      </c>
    </row>
    <row r="125" spans="1:10" ht="16.5">
      <c r="A125" s="1471"/>
      <c r="B125" s="1469"/>
      <c r="C125" s="1100">
        <f t="shared" si="3"/>
        <v>3.3333333333333333E-2</v>
      </c>
      <c r="D125" s="71">
        <v>3</v>
      </c>
      <c r="E125" s="1150"/>
      <c r="F125" s="1150"/>
      <c r="G125" s="1150"/>
      <c r="H125" s="1162">
        <f>'OR12-财务管理'!P29</f>
        <v>3</v>
      </c>
      <c r="I125" s="1275"/>
      <c r="J125" s="1385" t="s">
        <v>2186</v>
      </c>
    </row>
    <row r="126" spans="1:10" ht="16.5">
      <c r="A126" s="1471"/>
      <c r="B126" s="20" t="s">
        <v>180</v>
      </c>
      <c r="C126" s="1374">
        <f t="shared" si="3"/>
        <v>3.3333333333333333E-2</v>
      </c>
      <c r="D126" s="71">
        <v>1</v>
      </c>
      <c r="E126" s="1150"/>
      <c r="F126" s="1150"/>
      <c r="G126" s="1150"/>
      <c r="H126" s="1162">
        <f>'OR12-财务管理'!P30</f>
        <v>1</v>
      </c>
      <c r="I126" s="1275"/>
      <c r="J126" s="1385" t="s">
        <v>2186</v>
      </c>
    </row>
    <row r="127" spans="1:10" ht="16.5">
      <c r="A127" s="1471"/>
      <c r="B127" s="1468" t="s">
        <v>183</v>
      </c>
      <c r="C127" s="1374"/>
      <c r="D127" s="71"/>
      <c r="E127" s="1150"/>
      <c r="F127" s="1150"/>
      <c r="G127" s="1150"/>
      <c r="H127" s="1162">
        <f>'OR12-财务管理'!N31</f>
        <v>0</v>
      </c>
      <c r="I127" s="1275"/>
      <c r="J127" s="1385" t="str">
        <f>J124</f>
        <v>IRR指标</v>
      </c>
    </row>
    <row r="128" spans="1:10" ht="16.5">
      <c r="A128" s="1471"/>
      <c r="B128" s="1469"/>
      <c r="C128" s="1100">
        <f t="shared" si="3"/>
        <v>3.3333333333333333E-2</v>
      </c>
      <c r="D128" s="71">
        <v>4</v>
      </c>
      <c r="E128" s="1150"/>
      <c r="F128" s="1150"/>
      <c r="G128" s="1150"/>
      <c r="H128" s="1162">
        <f>'OR12-财务管理'!P31</f>
        <v>4</v>
      </c>
      <c r="I128" s="1275"/>
      <c r="J128" s="1385" t="s">
        <v>2186</v>
      </c>
    </row>
    <row r="129" spans="1:10" ht="16.5">
      <c r="A129" s="1471"/>
      <c r="B129" s="20" t="s">
        <v>184</v>
      </c>
      <c r="C129" s="1374">
        <f t="shared" si="3"/>
        <v>3.3333333333333333E-2</v>
      </c>
      <c r="D129" s="71">
        <v>2</v>
      </c>
      <c r="E129" s="1150"/>
      <c r="F129" s="1150"/>
      <c r="G129" s="1150"/>
      <c r="H129" s="1162">
        <f>'OR12-财务管理'!P32</f>
        <v>2</v>
      </c>
      <c r="I129" s="1275"/>
      <c r="J129" s="1385" t="s">
        <v>2186</v>
      </c>
    </row>
    <row r="130" spans="1:10" ht="16.5">
      <c r="A130" s="1471"/>
      <c r="B130" s="20" t="s">
        <v>141</v>
      </c>
      <c r="C130" s="1100">
        <f t="shared" si="3"/>
        <v>3.3333333333333333E-2</v>
      </c>
      <c r="D130" s="71">
        <v>4</v>
      </c>
      <c r="E130" s="1150"/>
      <c r="F130" s="1150"/>
      <c r="G130" s="1150"/>
      <c r="H130" s="1162">
        <f>'OR12-财务管理'!P33</f>
        <v>4</v>
      </c>
      <c r="I130" s="1275"/>
      <c r="J130" s="1385" t="s">
        <v>2186</v>
      </c>
    </row>
    <row r="131" spans="1:10" ht="16.5">
      <c r="A131" s="1471"/>
      <c r="B131" s="20" t="s">
        <v>187</v>
      </c>
      <c r="C131" s="1100">
        <f t="shared" si="3"/>
        <v>3.3333333333333333E-2</v>
      </c>
      <c r="D131" s="71">
        <v>3</v>
      </c>
      <c r="E131" s="1150"/>
      <c r="F131" s="1150"/>
      <c r="G131" s="1150"/>
      <c r="H131" s="1162">
        <f>'OR12-财务管理'!P34</f>
        <v>3</v>
      </c>
      <c r="I131" s="1275"/>
      <c r="J131" s="1385" t="s">
        <v>2186</v>
      </c>
    </row>
    <row r="132" spans="1:10" ht="16.5">
      <c r="A132" s="1471"/>
      <c r="B132" s="20" t="s">
        <v>190</v>
      </c>
      <c r="C132" s="1100">
        <f t="shared" si="3"/>
        <v>3.3333333333333333E-2</v>
      </c>
      <c r="D132" s="71">
        <v>3</v>
      </c>
      <c r="E132" s="1150"/>
      <c r="F132" s="1150"/>
      <c r="G132" s="1150"/>
      <c r="H132" s="1162">
        <f>'OR12-财务管理'!P35</f>
        <v>3</v>
      </c>
      <c r="I132" s="1275"/>
      <c r="J132" s="1385" t="s">
        <v>2186</v>
      </c>
    </row>
    <row r="133" spans="1:10" ht="16.5">
      <c r="A133" s="1471"/>
      <c r="B133" s="20" t="s">
        <v>2116</v>
      </c>
      <c r="C133" s="1100">
        <f t="shared" si="3"/>
        <v>3.3333333333333333E-2</v>
      </c>
      <c r="D133" s="71">
        <v>3</v>
      </c>
      <c r="E133" s="1150"/>
      <c r="F133" s="1150"/>
      <c r="G133" s="1150"/>
      <c r="H133" s="1162">
        <f>'OR12-财务管理'!P36</f>
        <v>3</v>
      </c>
      <c r="I133" s="1278">
        <f>H133</f>
        <v>3</v>
      </c>
      <c r="J133" s="1385" t="s">
        <v>2186</v>
      </c>
    </row>
    <row r="134" spans="1:10" ht="16.5">
      <c r="A134" s="1471"/>
      <c r="B134" s="20" t="s">
        <v>144</v>
      </c>
      <c r="C134" s="1100">
        <f t="shared" si="3"/>
        <v>3.3333333333333333E-2</v>
      </c>
      <c r="D134" s="71">
        <v>3</v>
      </c>
      <c r="E134" s="1150"/>
      <c r="F134" s="1150"/>
      <c r="G134" s="1158">
        <f>'OR12-财务管理'!P39</f>
        <v>3</v>
      </c>
      <c r="H134" s="1162">
        <f>G134</f>
        <v>3</v>
      </c>
      <c r="I134" s="1275"/>
      <c r="J134" s="1385" t="s">
        <v>2186</v>
      </c>
    </row>
    <row r="135" spans="1:10" ht="16.5">
      <c r="A135" s="1471"/>
      <c r="B135" s="60" t="s">
        <v>147</v>
      </c>
      <c r="C135" s="1100">
        <f t="shared" si="3"/>
        <v>3.3333333333333333E-2</v>
      </c>
      <c r="D135" s="1375">
        <v>2</v>
      </c>
      <c r="E135" s="1150"/>
      <c r="F135" s="1150"/>
      <c r="G135" s="1158">
        <f>'OR12-财务管理'!P40</f>
        <v>2</v>
      </c>
      <c r="H135" s="1162">
        <f>G135</f>
        <v>2</v>
      </c>
      <c r="I135" s="1275"/>
      <c r="J135" s="1385" t="s">
        <v>2186</v>
      </c>
    </row>
    <row r="136" spans="1:10" ht="17.25" thickBot="1">
      <c r="A136" s="1472"/>
      <c r="B136" s="1123" t="s">
        <v>731</v>
      </c>
      <c r="C136" s="1124">
        <f t="shared" si="3"/>
        <v>3.3333333333333333E-2</v>
      </c>
      <c r="D136" s="1125">
        <v>10</v>
      </c>
      <c r="E136" s="1151"/>
      <c r="F136" s="1151"/>
      <c r="G136" s="1163">
        <f>MAX(10-2*(G110+G113+G115+G119+G124+G127),0)</f>
        <v>8</v>
      </c>
      <c r="H136" s="1164">
        <f>MAX(10-2*(H110+H113+H115+H119+H124+H127),0)</f>
        <v>8</v>
      </c>
      <c r="I136" s="1276"/>
      <c r="J136" s="1386" t="s">
        <v>2186</v>
      </c>
    </row>
    <row r="137" spans="1:10" ht="13.5" customHeight="1" thickBot="1">
      <c r="A137" s="1473" t="s">
        <v>1934</v>
      </c>
      <c r="B137" s="1474"/>
      <c r="C137" s="1191">
        <f>1/18</f>
        <v>5.5555555555555552E-2</v>
      </c>
      <c r="D137" s="1394">
        <v>98.05</v>
      </c>
      <c r="E137" s="1152"/>
      <c r="F137" s="1152"/>
      <c r="G137" s="1152"/>
      <c r="H137" s="1152"/>
      <c r="I137" s="1365">
        <v>89.43</v>
      </c>
      <c r="J137" s="1387" t="s">
        <v>2186</v>
      </c>
    </row>
    <row r="138" spans="1:10" ht="15">
      <c r="C138" s="1169"/>
      <c r="D138" s="1115" t="s">
        <v>1657</v>
      </c>
      <c r="E138" s="1286">
        <f>SUMPRODUCT(C11:C51,D11:D51)+SUMPRODUCT(C53:C55,D53:D55)+SUMPRODUCT(C61:C62,E61:E62)</f>
        <v>3.7777777777777768</v>
      </c>
      <c r="F138" s="1286">
        <f>SUMPRODUCT(C63:C73,D63:D73)</f>
        <v>11.111111111111109</v>
      </c>
      <c r="G138" s="1286">
        <f>C48*D48+C52*D52+SUMPRODUCT(C74:C79,D74:D79)+C84*D84+SUMPRODUCT(C89:C90,D89:D90)+SUMPRODUCT(C93:C94,D93:D94)+C96*D96+SUMPRODUCT(C100:C108,D100:D108)+C112*D112+C114*D114+C117*D117+C118*D118+SUMPRODUCT(C120:C122,D120:D122)+SUMPRODUCT(C134:C136,D134:D136)</f>
        <v>3.3999999999999995</v>
      </c>
      <c r="H138" s="1286">
        <f>SUMPRODUCT(C123:C136,D123:D136)+C120*D120+C116*D116+SUMPRODUCT(C96:C111,D96:D111)+C92*D92+SUMPRODUCT(C85:C87,D85:D87)+C83*D83+SUMPRODUCT(C79:C81,D79:D81)+SUMPRODUCT(C74:C77,D74:D77)</f>
        <v>4.1555555555555559</v>
      </c>
      <c r="I138" s="1286">
        <f>SUMPRODUCT(C2:C10,D2:D10)+SUMPRODUCT(C56:C60,D56:D60)+SUMPRODUCT(C100:C101,D100:D101)+C133*D133+C137*D137</f>
        <v>6.6083333333333334</v>
      </c>
    </row>
    <row r="139" spans="1:10" ht="15">
      <c r="D139" s="1115" t="s">
        <v>2250</v>
      </c>
      <c r="E139" s="1286">
        <f>SUMPRODUCT($C$2:$C$137,E2:E137)</f>
        <v>3.7777777777777763</v>
      </c>
      <c r="F139" s="1286">
        <f>SUMPRODUCT($C$2:$C$137,F2:F137)</f>
        <v>10.888888888888888</v>
      </c>
      <c r="G139" s="1286">
        <f>SUMPRODUCT($C$2:$C$137,G2:G137)</f>
        <v>3.1188888888888884</v>
      </c>
      <c r="H139" s="1286">
        <f>SUMPRODUCT($C$2:$C$137,H2:H137)</f>
        <v>3.9133333333333336</v>
      </c>
      <c r="I139" s="1286">
        <f>SUMPRODUCT($C$2:$C$137,I2:I137)</f>
        <v>6.1294444444444451</v>
      </c>
    </row>
    <row r="140" spans="1:10" ht="15">
      <c r="D140" s="1115" t="s">
        <v>1644</v>
      </c>
      <c r="E140" s="1286">
        <f>E139/E138*100</f>
        <v>99.999999999999986</v>
      </c>
      <c r="F140" s="1286">
        <f>F139/F138*100</f>
        <v>98.000000000000014</v>
      </c>
      <c r="G140" s="1286">
        <f>G139/G138*100</f>
        <v>91.732026143790847</v>
      </c>
      <c r="H140" s="1286">
        <f>H139/H138*100</f>
        <v>94.171122994652407</v>
      </c>
      <c r="I140" s="1286">
        <f>I139/I138*100</f>
        <v>92.75325767129047</v>
      </c>
    </row>
    <row r="145" spans="1:5" ht="15">
      <c r="C145" s="1171" t="s">
        <v>1183</v>
      </c>
      <c r="D145" s="1172">
        <f>VALUE($E$140)</f>
        <v>99.999999999999986</v>
      </c>
    </row>
    <row r="146" spans="1:5" ht="15">
      <c r="C146" s="1171" t="s">
        <v>2229</v>
      </c>
      <c r="D146" s="1173">
        <f>VALUE($F$140)</f>
        <v>98.000000000000014</v>
      </c>
    </row>
    <row r="147" spans="1:5" ht="15">
      <c r="A147" s="1170"/>
      <c r="B147" s="1170"/>
      <c r="C147" s="1171" t="s">
        <v>1662</v>
      </c>
      <c r="D147" s="1173">
        <f>VALUE($H$140)</f>
        <v>94.171122994652407</v>
      </c>
      <c r="E147" s="1170"/>
    </row>
    <row r="148" spans="1:5" ht="15">
      <c r="C148" s="1171" t="s">
        <v>1474</v>
      </c>
      <c r="D148" s="1173">
        <f>VALUE($I$140)</f>
        <v>92.75325767129047</v>
      </c>
    </row>
    <row r="149" spans="1:5" ht="15">
      <c r="C149" s="1171" t="s">
        <v>1475</v>
      </c>
      <c r="D149" s="1173">
        <f>VALUE($G$140)</f>
        <v>91.732026143790847</v>
      </c>
    </row>
    <row r="151" spans="1:5">
      <c r="A151" s="860" t="s">
        <v>2465</v>
      </c>
    </row>
    <row r="152" spans="1:5">
      <c r="A152" s="860" t="s">
        <v>2461</v>
      </c>
    </row>
    <row r="153" spans="1:5">
      <c r="A153" s="860" t="s">
        <v>2463</v>
      </c>
    </row>
    <row r="154" spans="1:5">
      <c r="A154" s="860" t="s">
        <v>2462</v>
      </c>
    </row>
  </sheetData>
  <sortState ref="C146:D149">
    <sortCondition descending="1" ref="D145"/>
  </sortState>
  <mergeCells count="131">
    <mergeCell ref="C14:C15"/>
    <mergeCell ref="C18:C19"/>
    <mergeCell ref="C21:C22"/>
    <mergeCell ref="C23:C24"/>
    <mergeCell ref="D50:D51"/>
    <mergeCell ref="D45:D46"/>
    <mergeCell ref="D48:D49"/>
    <mergeCell ref="D40:D41"/>
    <mergeCell ref="D43:D44"/>
    <mergeCell ref="D36:D37"/>
    <mergeCell ref="D38:D39"/>
    <mergeCell ref="D25:D26"/>
    <mergeCell ref="D32:D33"/>
    <mergeCell ref="D21:D22"/>
    <mergeCell ref="D23:D24"/>
    <mergeCell ref="D14:D15"/>
    <mergeCell ref="D18:D19"/>
    <mergeCell ref="C50:C51"/>
    <mergeCell ref="C48:C49"/>
    <mergeCell ref="C45:C46"/>
    <mergeCell ref="C43:C44"/>
    <mergeCell ref="C38:C39"/>
    <mergeCell ref="C36:C37"/>
    <mergeCell ref="C32:C33"/>
    <mergeCell ref="C25:C26"/>
    <mergeCell ref="C40:C41"/>
    <mergeCell ref="I18:I19"/>
    <mergeCell ref="G14:G15"/>
    <mergeCell ref="H14:H15"/>
    <mergeCell ref="F14:F15"/>
    <mergeCell ref="I14:I15"/>
    <mergeCell ref="E18:E19"/>
    <mergeCell ref="G18:G19"/>
    <mergeCell ref="H18:H19"/>
    <mergeCell ref="F18:F19"/>
    <mergeCell ref="E14:E15"/>
    <mergeCell ref="I21:I22"/>
    <mergeCell ref="I23:I24"/>
    <mergeCell ref="E25:E26"/>
    <mergeCell ref="G25:G26"/>
    <mergeCell ref="H25:H26"/>
    <mergeCell ref="F25:F26"/>
    <mergeCell ref="I25:I26"/>
    <mergeCell ref="E23:E24"/>
    <mergeCell ref="G23:G24"/>
    <mergeCell ref="H23:H24"/>
    <mergeCell ref="F23:F24"/>
    <mergeCell ref="E21:E22"/>
    <mergeCell ref="G21:G22"/>
    <mergeCell ref="H21:H22"/>
    <mergeCell ref="F21:F22"/>
    <mergeCell ref="I38:I39"/>
    <mergeCell ref="E36:E37"/>
    <mergeCell ref="G36:G37"/>
    <mergeCell ref="H36:H37"/>
    <mergeCell ref="F36:F37"/>
    <mergeCell ref="I36:I37"/>
    <mergeCell ref="I32:I33"/>
    <mergeCell ref="E32:E33"/>
    <mergeCell ref="G32:G33"/>
    <mergeCell ref="H32:H33"/>
    <mergeCell ref="F32:F33"/>
    <mergeCell ref="I45:I46"/>
    <mergeCell ref="E43:E44"/>
    <mergeCell ref="G43:G44"/>
    <mergeCell ref="H43:H44"/>
    <mergeCell ref="F43:F44"/>
    <mergeCell ref="E40:E41"/>
    <mergeCell ref="G40:G41"/>
    <mergeCell ref="H40:H41"/>
    <mergeCell ref="F40:F41"/>
    <mergeCell ref="I40:I41"/>
    <mergeCell ref="I2:I3"/>
    <mergeCell ref="I4:I5"/>
    <mergeCell ref="A8:A10"/>
    <mergeCell ref="A2:A6"/>
    <mergeCell ref="D2:D3"/>
    <mergeCell ref="D4:D5"/>
    <mergeCell ref="C2:C3"/>
    <mergeCell ref="C4:C5"/>
    <mergeCell ref="E54:E55"/>
    <mergeCell ref="G54:G55"/>
    <mergeCell ref="H54:H55"/>
    <mergeCell ref="F54:F55"/>
    <mergeCell ref="I43:I44"/>
    <mergeCell ref="I54:I55"/>
    <mergeCell ref="E50:E51"/>
    <mergeCell ref="G50:G51"/>
    <mergeCell ref="H50:H51"/>
    <mergeCell ref="F50:F51"/>
    <mergeCell ref="I50:I51"/>
    <mergeCell ref="E48:E49"/>
    <mergeCell ref="H48:H49"/>
    <mergeCell ref="F48:F49"/>
    <mergeCell ref="I48:I49"/>
    <mergeCell ref="G48:G49"/>
    <mergeCell ref="E2:E3"/>
    <mergeCell ref="G2:G3"/>
    <mergeCell ref="H2:H3"/>
    <mergeCell ref="F2:F3"/>
    <mergeCell ref="E4:E5"/>
    <mergeCell ref="G4:G5"/>
    <mergeCell ref="H4:H5"/>
    <mergeCell ref="F4:F5"/>
    <mergeCell ref="A74:A102"/>
    <mergeCell ref="B82:B83"/>
    <mergeCell ref="B88:B89"/>
    <mergeCell ref="B91:B92"/>
    <mergeCell ref="E45:E46"/>
    <mergeCell ref="G45:G46"/>
    <mergeCell ref="H45:H46"/>
    <mergeCell ref="F45:F46"/>
    <mergeCell ref="E38:E39"/>
    <mergeCell ref="G38:G39"/>
    <mergeCell ref="H38:H39"/>
    <mergeCell ref="F38:F39"/>
    <mergeCell ref="A11:A62"/>
    <mergeCell ref="D54:D55"/>
    <mergeCell ref="C54:C55"/>
    <mergeCell ref="A63:A73"/>
    <mergeCell ref="B80:B81"/>
    <mergeCell ref="B113:B114"/>
    <mergeCell ref="B110:B111"/>
    <mergeCell ref="B115:B116"/>
    <mergeCell ref="B119:B120"/>
    <mergeCell ref="B124:B125"/>
    <mergeCell ref="B127:B128"/>
    <mergeCell ref="A103:A136"/>
    <mergeCell ref="A137:B137"/>
    <mergeCell ref="B95:B96"/>
    <mergeCell ref="B97:B98"/>
  </mergeCells>
  <phoneticPr fontId="3" type="noConversion"/>
  <conditionalFormatting sqref="I2:I10">
    <cfRule type="cellIs" dxfId="272" priority="42" operator="lessThan">
      <formula>D2</formula>
    </cfRule>
  </conditionalFormatting>
  <conditionalFormatting sqref="E11:E51">
    <cfRule type="cellIs" dxfId="271" priority="41" operator="lessThan">
      <formula>D11</formula>
    </cfRule>
  </conditionalFormatting>
  <conditionalFormatting sqref="G48:G49">
    <cfRule type="cellIs" dxfId="270" priority="40" operator="lessThan">
      <formula>$D$48</formula>
    </cfRule>
  </conditionalFormatting>
  <conditionalFormatting sqref="G52">
    <cfRule type="cellIs" dxfId="269" priority="39" operator="lessThan">
      <formula>$D$52</formula>
    </cfRule>
  </conditionalFormatting>
  <conditionalFormatting sqref="E53:E55">
    <cfRule type="cellIs" dxfId="268" priority="38" operator="lessThan">
      <formula>D53</formula>
    </cfRule>
  </conditionalFormatting>
  <conditionalFormatting sqref="I56:I60">
    <cfRule type="cellIs" dxfId="267" priority="37" operator="lessThan">
      <formula>D56</formula>
    </cfRule>
  </conditionalFormatting>
  <conditionalFormatting sqref="E61:E62">
    <cfRule type="cellIs" dxfId="266" priority="36" operator="lessThan">
      <formula>D61</formula>
    </cfRule>
  </conditionalFormatting>
  <conditionalFormatting sqref="F63:F73">
    <cfRule type="cellIs" dxfId="265" priority="35" operator="lessThan">
      <formula>D63</formula>
    </cfRule>
  </conditionalFormatting>
  <conditionalFormatting sqref="G74:G79">
    <cfRule type="cellIs" dxfId="264" priority="34" operator="lessThan">
      <formula>D74</formula>
    </cfRule>
  </conditionalFormatting>
  <conditionalFormatting sqref="H79">
    <cfRule type="cellIs" dxfId="263" priority="32" operator="lessThan">
      <formula>$D$79</formula>
    </cfRule>
  </conditionalFormatting>
  <conditionalFormatting sqref="H81">
    <cfRule type="cellIs" dxfId="262" priority="31" operator="lessThan">
      <formula>$D$81</formula>
    </cfRule>
  </conditionalFormatting>
  <conditionalFormatting sqref="G84">
    <cfRule type="cellIs" dxfId="261" priority="30" operator="lessThan">
      <formula>$D$84</formula>
    </cfRule>
  </conditionalFormatting>
  <conditionalFormatting sqref="H85:H87">
    <cfRule type="cellIs" dxfId="260" priority="29" operator="lessThan">
      <formula>D85</formula>
    </cfRule>
  </conditionalFormatting>
  <conditionalFormatting sqref="G88">
    <cfRule type="cellIs" dxfId="259" priority="28" operator="greaterThan">
      <formula>0</formula>
    </cfRule>
  </conditionalFormatting>
  <conditionalFormatting sqref="G89">
    <cfRule type="cellIs" dxfId="258" priority="27" operator="lessThan">
      <formula>D89</formula>
    </cfRule>
  </conditionalFormatting>
  <conditionalFormatting sqref="G90">
    <cfRule type="cellIs" dxfId="257" priority="26" operator="lessThan">
      <formula>D90</formula>
    </cfRule>
  </conditionalFormatting>
  <conditionalFormatting sqref="H91">
    <cfRule type="cellIs" dxfId="256" priority="25" operator="greaterThan">
      <formula>0</formula>
    </cfRule>
  </conditionalFormatting>
  <conditionalFormatting sqref="H92">
    <cfRule type="cellIs" dxfId="255" priority="24" operator="lessThan">
      <formula>D92</formula>
    </cfRule>
  </conditionalFormatting>
  <conditionalFormatting sqref="G93:G94">
    <cfRule type="cellIs" dxfId="254" priority="23" operator="lessThan">
      <formula>D93</formula>
    </cfRule>
  </conditionalFormatting>
  <conditionalFormatting sqref="G95:H95">
    <cfRule type="cellIs" dxfId="253" priority="22" operator="greaterThan">
      <formula>0</formula>
    </cfRule>
  </conditionalFormatting>
  <conditionalFormatting sqref="G96:H96">
    <cfRule type="cellIs" dxfId="252" priority="21" operator="lessThan">
      <formula>6</formula>
    </cfRule>
  </conditionalFormatting>
  <conditionalFormatting sqref="H97">
    <cfRule type="cellIs" dxfId="251" priority="20" operator="greaterThan">
      <formula>0</formula>
    </cfRule>
  </conditionalFormatting>
  <conditionalFormatting sqref="H98">
    <cfRule type="cellIs" dxfId="250" priority="19" operator="lessThan">
      <formula>5</formula>
    </cfRule>
  </conditionalFormatting>
  <conditionalFormatting sqref="G100:H108">
    <cfRule type="cellIs" dxfId="249" priority="18" operator="lessThan">
      <formula>D100</formula>
    </cfRule>
  </conditionalFormatting>
  <conditionalFormatting sqref="H74:H77">
    <cfRule type="cellIs" dxfId="248" priority="17" operator="lessThan">
      <formula>D74</formula>
    </cfRule>
  </conditionalFormatting>
  <conditionalFormatting sqref="H100:H111">
    <cfRule type="cellIs" dxfId="247" priority="16" operator="lessThan">
      <formula>D100</formula>
    </cfRule>
  </conditionalFormatting>
  <conditionalFormatting sqref="I100:I101">
    <cfRule type="cellIs" dxfId="246" priority="15" operator="lessThan">
      <formula>D100</formula>
    </cfRule>
  </conditionalFormatting>
  <conditionalFormatting sqref="G112">
    <cfRule type="cellIs" dxfId="245" priority="14" operator="greaterThan">
      <formula>$D$112</formula>
    </cfRule>
    <cfRule type="cellIs" dxfId="244" priority="13" operator="lessThan">
      <formula>$D$112</formula>
    </cfRule>
  </conditionalFormatting>
  <conditionalFormatting sqref="G113">
    <cfRule type="cellIs" dxfId="243" priority="12" operator="greaterThan">
      <formula>0</formula>
    </cfRule>
  </conditionalFormatting>
  <conditionalFormatting sqref="G114">
    <cfRule type="cellIs" dxfId="242" priority="11" operator="lessThan">
      <formula>$D$114</formula>
    </cfRule>
  </conditionalFormatting>
  <conditionalFormatting sqref="H115">
    <cfRule type="cellIs" dxfId="241" priority="10" operator="greaterThan">
      <formula>0</formula>
    </cfRule>
  </conditionalFormatting>
  <conditionalFormatting sqref="H116">
    <cfRule type="cellIs" dxfId="240" priority="9" operator="lessThan">
      <formula>$D$116</formula>
    </cfRule>
  </conditionalFormatting>
  <conditionalFormatting sqref="G117:G118">
    <cfRule type="cellIs" dxfId="239" priority="8" operator="lessThan">
      <formula>$D$117</formula>
    </cfRule>
  </conditionalFormatting>
  <conditionalFormatting sqref="G119:H119">
    <cfRule type="cellIs" dxfId="238" priority="7" operator="greaterThan">
      <formula>0</formula>
    </cfRule>
  </conditionalFormatting>
  <conditionalFormatting sqref="G120:H120">
    <cfRule type="cellIs" dxfId="237" priority="6" operator="lessThan">
      <formula>$D$120</formula>
    </cfRule>
  </conditionalFormatting>
  <conditionalFormatting sqref="G121:G122">
    <cfRule type="cellIs" dxfId="236" priority="5" operator="lessThan">
      <formula>D121</formula>
    </cfRule>
  </conditionalFormatting>
  <conditionalFormatting sqref="H123:H136">
    <cfRule type="cellIs" dxfId="235" priority="4" operator="lessThan">
      <formula>D123</formula>
    </cfRule>
  </conditionalFormatting>
  <conditionalFormatting sqref="G134:G136">
    <cfRule type="cellIs" dxfId="234" priority="3" operator="lessThan">
      <formula>D134</formula>
    </cfRule>
  </conditionalFormatting>
  <conditionalFormatting sqref="I133">
    <cfRule type="cellIs" dxfId="233" priority="2" operator="lessThan">
      <formula>$D$133</formula>
    </cfRule>
  </conditionalFormatting>
  <conditionalFormatting sqref="I137">
    <cfRule type="cellIs" dxfId="232" priority="1" operator="lessThan">
      <formula>$D$137</formula>
    </cfRule>
  </conditionalFormatting>
  <hyperlinks>
    <hyperlink ref="A151" location="绩效总分!A1" display="绩效总分"/>
    <hyperlink ref="A152" location="'总公司绩效-II'!A1" display="总公司绩效-II"/>
    <hyperlink ref="A153" location="分公司绩效!A1" display="分公司绩效"/>
    <hyperlink ref="A154" location="目录!A1" display="目录"/>
  </hyperlinks>
  <pageMargins left="0.7" right="0.7" top="0.75" bottom="0.75" header="0.3" footer="0.3"/>
  <ignoredErrors>
    <ignoredError sqref="F138" formulaRange="1"/>
  </ignoredErrors>
  <legacyDrawing r:id="rId1"/>
</worksheet>
</file>

<file path=xl/worksheets/sheet9.xml><?xml version="1.0" encoding="utf-8"?>
<worksheet xmlns="http://schemas.openxmlformats.org/spreadsheetml/2006/main" xmlns:r="http://schemas.openxmlformats.org/officeDocument/2006/relationships">
  <sheetPr>
    <tabColor theme="3"/>
  </sheetPr>
  <dimension ref="A1:H27"/>
  <sheetViews>
    <sheetView topLeftCell="E1" workbookViewId="0">
      <selection activeCell="H34" sqref="H34"/>
    </sheetView>
  </sheetViews>
  <sheetFormatPr defaultRowHeight="13.5"/>
  <cols>
    <col min="1" max="1" width="13.125" bestFit="1" customWidth="1"/>
    <col min="2" max="2" width="8.625" style="1268" bestFit="1" customWidth="1"/>
    <col min="3" max="3" width="50.125" style="32" customWidth="1"/>
    <col min="4" max="4" width="52.125" style="32" customWidth="1"/>
    <col min="5" max="5" width="9" bestFit="1" customWidth="1"/>
    <col min="7" max="7" width="40.375" customWidth="1"/>
    <col min="8" max="8" width="56.125" customWidth="1"/>
  </cols>
  <sheetData>
    <row r="1" spans="1:8" ht="15">
      <c r="A1" s="1505" t="s">
        <v>2413</v>
      </c>
      <c r="B1" s="1506"/>
      <c r="C1" s="1178" t="s">
        <v>2421</v>
      </c>
      <c r="D1" s="1178" t="s">
        <v>2422</v>
      </c>
      <c r="E1" s="1507" t="s">
        <v>2414</v>
      </c>
      <c r="F1" s="1508"/>
      <c r="G1" s="1178" t="s">
        <v>2421</v>
      </c>
      <c r="H1" s="1178" t="s">
        <v>2420</v>
      </c>
    </row>
    <row r="2" spans="1:8" ht="15">
      <c r="A2" s="1171" t="str">
        <f>'总公司绩效-I'!C145</f>
        <v>投资部</v>
      </c>
      <c r="B2" s="1359">
        <f>'总公司绩效-I'!D145</f>
        <v>99.999999999999986</v>
      </c>
      <c r="C2" s="1300" t="s">
        <v>2442</v>
      </c>
      <c r="D2" s="1300" t="s">
        <v>2438</v>
      </c>
      <c r="E2" s="1171" t="str">
        <f>分公司绩效!C105</f>
        <v>北京</v>
      </c>
      <c r="F2" s="1360">
        <f>分公司绩效!D105</f>
        <v>97.074915824915834</v>
      </c>
      <c r="G2" s="1300" t="s">
        <v>2446</v>
      </c>
      <c r="H2" s="1300" t="s">
        <v>2415</v>
      </c>
    </row>
    <row r="3" spans="1:8" ht="15">
      <c r="A3" s="1171" t="str">
        <f>'总公司绩效-II'!C93</f>
        <v>多元</v>
      </c>
      <c r="B3" s="1359">
        <f>'总公司绩效-II'!D93</f>
        <v>98.692285666227008</v>
      </c>
      <c r="C3" s="1300" t="s">
        <v>2435</v>
      </c>
      <c r="D3" s="1300" t="s">
        <v>2444</v>
      </c>
      <c r="E3" s="1171" t="str">
        <f>分公司绩效!C106</f>
        <v>大连</v>
      </c>
      <c r="F3" s="1360">
        <f>分公司绩效!D106</f>
        <v>95.952756734006712</v>
      </c>
      <c r="G3" s="1300" t="s">
        <v>2447</v>
      </c>
      <c r="H3" s="1300" t="s">
        <v>2416</v>
      </c>
    </row>
    <row r="4" spans="1:8" ht="15">
      <c r="A4" s="1171" t="str">
        <f>'总公司绩效-II'!C94</f>
        <v>续期</v>
      </c>
      <c r="B4" s="1359">
        <f>'总公司绩效-II'!D94</f>
        <v>98.427326054805988</v>
      </c>
      <c r="C4" s="1300" t="s">
        <v>2436</v>
      </c>
      <c r="D4" s="1300" t="s">
        <v>2439</v>
      </c>
      <c r="E4" s="1171" t="str">
        <f>分公司绩效!C107</f>
        <v>河南</v>
      </c>
      <c r="F4" s="1360">
        <f>分公司绩效!D107</f>
        <v>95.844184027777786</v>
      </c>
      <c r="G4" s="1300" t="s">
        <v>2448</v>
      </c>
      <c r="H4" s="1300" t="s">
        <v>2417</v>
      </c>
    </row>
    <row r="5" spans="1:8" ht="15">
      <c r="A5" s="1171" t="str">
        <f>'总公司绩效-II'!C95</f>
        <v>客服</v>
      </c>
      <c r="B5" s="1359">
        <f>'总公司绩效-II'!D95</f>
        <v>98.037822392661141</v>
      </c>
      <c r="C5" s="1300" t="s">
        <v>2437</v>
      </c>
      <c r="D5" s="1300" t="s">
        <v>2445</v>
      </c>
      <c r="E5" s="1171" t="str">
        <f>分公司绩效!C108</f>
        <v>四川</v>
      </c>
      <c r="F5" s="1360">
        <f>分公司绩效!D108</f>
        <v>95.549087690631808</v>
      </c>
      <c r="G5" s="1300" t="s">
        <v>2449</v>
      </c>
      <c r="H5" s="1300" t="s">
        <v>2418</v>
      </c>
    </row>
    <row r="6" spans="1:8" ht="15">
      <c r="A6" s="1171" t="str">
        <f>'总公司绩效-I'!C146</f>
        <v>精算部</v>
      </c>
      <c r="B6" s="1359">
        <f>'总公司绩效-I'!D146</f>
        <v>98.000000000000014</v>
      </c>
      <c r="C6" s="1300" t="s">
        <v>2434</v>
      </c>
      <c r="D6" s="1300" t="s">
        <v>2440</v>
      </c>
      <c r="E6" s="1171" t="str">
        <f>分公司绩效!C109</f>
        <v>广东</v>
      </c>
      <c r="F6" s="1360">
        <f>分公司绩效!D109</f>
        <v>94.65152275769745</v>
      </c>
      <c r="G6" s="1300" t="s">
        <v>2450</v>
      </c>
      <c r="H6" s="1300" t="s">
        <v>2419</v>
      </c>
    </row>
    <row r="7" spans="1:8" ht="15">
      <c r="A7" s="1171" t="str">
        <f>'总公司绩效-I'!C147</f>
        <v>会计运营部</v>
      </c>
      <c r="B7" s="1359">
        <f>'总公司绩效-I'!D147</f>
        <v>94.171122994652407</v>
      </c>
      <c r="D7" s="1300" t="s">
        <v>2441</v>
      </c>
      <c r="E7" s="1171" t="str">
        <f>分公司绩效!C110</f>
        <v>江苏</v>
      </c>
      <c r="F7" s="1360">
        <f>分公司绩效!D110</f>
        <v>94.586894586894587</v>
      </c>
      <c r="G7" s="1300" t="s">
        <v>2451</v>
      </c>
      <c r="H7" s="1300"/>
    </row>
    <row r="8" spans="1:8" ht="15">
      <c r="A8" s="1171" t="str">
        <f>'总公司绩效-II'!C96</f>
        <v>团险</v>
      </c>
      <c r="B8" s="1359">
        <f>'总公司绩效-II'!D96</f>
        <v>93.917567026810744</v>
      </c>
      <c r="D8" s="1300" t="s">
        <v>2426</v>
      </c>
      <c r="E8" s="1171" t="str">
        <f>分公司绩效!C111</f>
        <v>青岛</v>
      </c>
      <c r="F8" s="1360">
        <f>分公司绩效!D111</f>
        <v>94.500778433300553</v>
      </c>
      <c r="G8" s="1300" t="s">
        <v>2452</v>
      </c>
      <c r="H8" s="1300"/>
    </row>
    <row r="9" spans="1:8" ht="15">
      <c r="A9" s="1171" t="str">
        <f>'总公司绩效-I'!C148</f>
        <v>IT</v>
      </c>
      <c r="B9" s="1359">
        <f>'总公司绩效-I'!D148</f>
        <v>92.75325767129047</v>
      </c>
      <c r="D9" s="1300" t="s">
        <v>2443</v>
      </c>
      <c r="E9" s="1171" t="str">
        <f>分公司绩效!C112</f>
        <v>辽宁</v>
      </c>
      <c r="F9" s="1360">
        <f>分公司绩效!D112</f>
        <v>92.905897412312981</v>
      </c>
      <c r="G9" s="1300" t="s">
        <v>2453</v>
      </c>
      <c r="H9" s="1300"/>
    </row>
    <row r="10" spans="1:8" ht="15">
      <c r="A10" s="1171" t="str">
        <f>'总公司绩效-I'!C149</f>
        <v>财务管理部</v>
      </c>
      <c r="B10" s="1359">
        <f>'总公司绩效-I'!D149</f>
        <v>91.732026143790847</v>
      </c>
      <c r="D10" s="1300" t="s">
        <v>2427</v>
      </c>
      <c r="E10" s="1171" t="str">
        <f>分公司绩效!C113</f>
        <v>山东</v>
      </c>
      <c r="F10" s="1360">
        <f>分公司绩效!D113</f>
        <v>91.983653245942563</v>
      </c>
      <c r="G10" s="1300" t="s">
        <v>2454</v>
      </c>
      <c r="H10" s="1300"/>
    </row>
    <row r="11" spans="1:8" ht="15">
      <c r="A11" s="1171" t="str">
        <f>'总公司绩效-II'!C97</f>
        <v>银保</v>
      </c>
      <c r="B11" s="1359">
        <f>'总公司绩效-II'!D97</f>
        <v>88.943184608501937</v>
      </c>
      <c r="D11" s="1300" t="s">
        <v>2428</v>
      </c>
      <c r="E11" s="1171" t="str">
        <f>分公司绩效!C114</f>
        <v>天津</v>
      </c>
      <c r="F11" s="1360">
        <f>分公司绩效!D114</f>
        <v>91.759361684693559</v>
      </c>
      <c r="G11" s="1300" t="s">
        <v>2455</v>
      </c>
      <c r="H11" s="1300"/>
    </row>
    <row r="12" spans="1:8" ht="15">
      <c r="A12" s="1362" t="str">
        <f>'总公司绩效-II'!C98</f>
        <v>个险</v>
      </c>
      <c r="B12" s="1363">
        <f>'总公司绩效-II'!D98</f>
        <v>81.117023614747666</v>
      </c>
      <c r="D12" s="1300" t="s">
        <v>2429</v>
      </c>
      <c r="F12" s="1268"/>
      <c r="G12" s="1300" t="s">
        <v>2456</v>
      </c>
      <c r="H12" s="1178"/>
    </row>
    <row r="13" spans="1:8" ht="15">
      <c r="A13" s="1170"/>
      <c r="B13" s="1364"/>
      <c r="D13" s="1300" t="s">
        <v>2430</v>
      </c>
      <c r="F13" s="1268"/>
      <c r="G13" s="1300" t="s">
        <v>2457</v>
      </c>
      <c r="H13" s="1178"/>
    </row>
    <row r="14" spans="1:8" ht="15">
      <c r="A14" s="1170"/>
      <c r="B14" s="1364"/>
      <c r="D14" s="682" t="s">
        <v>2431</v>
      </c>
      <c r="F14" s="1268"/>
      <c r="G14" s="1300" t="s">
        <v>2458</v>
      </c>
      <c r="H14" s="1178"/>
    </row>
    <row r="15" spans="1:8" ht="15">
      <c r="A15" s="1170"/>
      <c r="B15" s="1364"/>
      <c r="D15" s="1300" t="s">
        <v>2424</v>
      </c>
      <c r="F15" s="1268"/>
      <c r="G15" s="1300" t="s">
        <v>2459</v>
      </c>
      <c r="H15" s="1361"/>
    </row>
    <row r="16" spans="1:8">
      <c r="D16" s="1300" t="s">
        <v>2432</v>
      </c>
      <c r="F16" s="1268"/>
      <c r="G16" s="1300" t="s">
        <v>2460</v>
      </c>
      <c r="H16" s="32"/>
    </row>
    <row r="17" spans="1:4">
      <c r="D17" s="682" t="s">
        <v>2433</v>
      </c>
    </row>
    <row r="18" spans="1:4">
      <c r="D18" s="682" t="s">
        <v>2425</v>
      </c>
    </row>
    <row r="24" spans="1:4">
      <c r="A24" s="894" t="s">
        <v>2463</v>
      </c>
    </row>
    <row r="25" spans="1:4">
      <c r="A25" s="894" t="s">
        <v>2464</v>
      </c>
    </row>
    <row r="26" spans="1:4">
      <c r="A26" s="894" t="s">
        <v>2461</v>
      </c>
    </row>
    <row r="27" spans="1:4">
      <c r="A27" s="894" t="s">
        <v>2462</v>
      </c>
    </row>
  </sheetData>
  <sortState ref="A2:B12">
    <sortCondition descending="1" ref="B1"/>
  </sortState>
  <mergeCells count="2">
    <mergeCell ref="A1:B1"/>
    <mergeCell ref="E1:F1"/>
  </mergeCells>
  <phoneticPr fontId="3" type="noConversion"/>
  <hyperlinks>
    <hyperlink ref="A24" location="分公司绩效!A1" display="分公司绩效"/>
    <hyperlink ref="A25" location="'总公司绩效-I'!A1" display="总公司绩效-I"/>
    <hyperlink ref="A26" location="'总公司绩效-II'!A1" display="总公司绩效-II"/>
    <hyperlink ref="A27" location="目录!A1" display="目录"/>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sheetPr codeName="Sheet1">
    <tabColor rgb="FFFFC000"/>
  </sheetPr>
  <dimension ref="A1:E27"/>
  <sheetViews>
    <sheetView topLeftCell="A7" workbookViewId="0">
      <selection activeCell="B30" sqref="B30"/>
    </sheetView>
  </sheetViews>
  <sheetFormatPr defaultRowHeight="13.5"/>
  <cols>
    <col min="1" max="1" width="8.625" style="32" customWidth="1"/>
    <col min="2" max="2" width="67.625" customWidth="1"/>
    <col min="3" max="3" width="16.625" bestFit="1" customWidth="1"/>
    <col min="4" max="4" width="15" bestFit="1" customWidth="1"/>
  </cols>
  <sheetData>
    <row r="1" spans="1:5" ht="51" customHeight="1">
      <c r="A1" s="1509" t="s">
        <v>2013</v>
      </c>
      <c r="B1" s="1510"/>
    </row>
    <row r="2" spans="1:5" ht="25.5" customHeight="1" thickBot="1">
      <c r="A2" s="1410" t="s">
        <v>233</v>
      </c>
      <c r="B2" s="1411" t="s">
        <v>234</v>
      </c>
    </row>
    <row r="3" spans="1:5" ht="16.5">
      <c r="A3" s="1412">
        <f>ROW()-2</f>
        <v>1</v>
      </c>
      <c r="B3" s="1413" t="s">
        <v>1467</v>
      </c>
    </row>
    <row r="4" spans="1:5" ht="16.5">
      <c r="A4" s="29">
        <f>ROW()-2</f>
        <v>2</v>
      </c>
      <c r="B4" s="33" t="s">
        <v>1468</v>
      </c>
    </row>
    <row r="5" spans="1:5" ht="16.5">
      <c r="A5" s="29">
        <f>ROW()-2</f>
        <v>3</v>
      </c>
      <c r="B5" s="33" t="s">
        <v>1469</v>
      </c>
    </row>
    <row r="6" spans="1:5" ht="16.5">
      <c r="A6" s="29">
        <f t="shared" ref="A6:A11" si="0">ROW()-2</f>
        <v>4</v>
      </c>
      <c r="B6" s="33" t="s">
        <v>1470</v>
      </c>
    </row>
    <row r="7" spans="1:5" ht="16.5">
      <c r="A7" s="29">
        <f t="shared" si="0"/>
        <v>5</v>
      </c>
      <c r="B7" s="33" t="s">
        <v>1471</v>
      </c>
    </row>
    <row r="8" spans="1:5" ht="16.5">
      <c r="A8" s="29">
        <f t="shared" si="0"/>
        <v>6</v>
      </c>
      <c r="B8" s="33" t="s">
        <v>2397</v>
      </c>
    </row>
    <row r="9" spans="1:5" ht="16.5">
      <c r="A9" s="29">
        <f t="shared" si="0"/>
        <v>7</v>
      </c>
      <c r="B9" s="33" t="s">
        <v>2398</v>
      </c>
    </row>
    <row r="10" spans="1:5" ht="16.5">
      <c r="A10" s="29">
        <f t="shared" si="0"/>
        <v>8</v>
      </c>
      <c r="B10" s="33" t="s">
        <v>2399</v>
      </c>
    </row>
    <row r="11" spans="1:5" ht="16.5">
      <c r="A11" s="29">
        <f t="shared" si="0"/>
        <v>9</v>
      </c>
      <c r="B11" s="33" t="s">
        <v>2400</v>
      </c>
    </row>
    <row r="12" spans="1:5" ht="16.5">
      <c r="A12" s="29">
        <f>ROW()-2</f>
        <v>10</v>
      </c>
      <c r="B12" s="33" t="s">
        <v>2401</v>
      </c>
    </row>
    <row r="13" spans="1:5" ht="16.5">
      <c r="A13" s="29">
        <v>11</v>
      </c>
      <c r="B13" s="33" t="s">
        <v>2402</v>
      </c>
    </row>
    <row r="14" spans="1:5" ht="16.5">
      <c r="A14" s="29">
        <v>12</v>
      </c>
      <c r="B14" s="33" t="s">
        <v>2403</v>
      </c>
    </row>
    <row r="15" spans="1:5" ht="18.75">
      <c r="A15" s="29">
        <v>13</v>
      </c>
      <c r="B15" s="33" t="s">
        <v>2404</v>
      </c>
      <c r="C15" s="755"/>
      <c r="D15" s="756"/>
      <c r="E15" s="757"/>
    </row>
    <row r="16" spans="1:5" ht="18.75">
      <c r="A16" s="29">
        <v>14</v>
      </c>
      <c r="B16" s="33" t="s">
        <v>2405</v>
      </c>
      <c r="C16" s="756"/>
      <c r="D16" s="754"/>
      <c r="E16" s="757"/>
    </row>
    <row r="17" spans="1:5" ht="18.75">
      <c r="A17" s="29">
        <v>15</v>
      </c>
      <c r="B17" s="33" t="s">
        <v>2406</v>
      </c>
      <c r="C17" s="755"/>
      <c r="D17" s="756"/>
      <c r="E17" s="757"/>
    </row>
    <row r="18" spans="1:5" ht="18.75">
      <c r="A18" s="29">
        <v>16</v>
      </c>
      <c r="B18" s="33" t="s">
        <v>2407</v>
      </c>
      <c r="C18" s="756"/>
      <c r="D18" s="754"/>
      <c r="E18" s="757"/>
    </row>
    <row r="19" spans="1:5" ht="16.5">
      <c r="A19" s="29">
        <v>17</v>
      </c>
      <c r="B19" s="33" t="s">
        <v>2408</v>
      </c>
    </row>
    <row r="20" spans="1:5" ht="18.75">
      <c r="A20" s="29">
        <v>18</v>
      </c>
      <c r="B20" s="33" t="s">
        <v>2393</v>
      </c>
      <c r="C20" s="754"/>
      <c r="D20" s="754"/>
      <c r="E20" s="757"/>
    </row>
    <row r="21" spans="1:5" ht="18.75">
      <c r="A21" s="29">
        <v>19</v>
      </c>
      <c r="B21" s="33" t="s">
        <v>2394</v>
      </c>
      <c r="C21" s="754"/>
      <c r="D21" s="754"/>
      <c r="E21" s="757"/>
    </row>
    <row r="22" spans="1:5" ht="16.5">
      <c r="A22" s="29">
        <v>20</v>
      </c>
      <c r="B22" s="33" t="s">
        <v>2409</v>
      </c>
      <c r="C22" s="757"/>
      <c r="D22" s="757"/>
      <c r="E22" s="757"/>
    </row>
    <row r="23" spans="1:5" ht="16.5">
      <c r="A23" s="29">
        <v>21</v>
      </c>
      <c r="B23" s="33" t="s">
        <v>2410</v>
      </c>
      <c r="C23" s="757"/>
      <c r="D23" s="757"/>
      <c r="E23" s="757"/>
    </row>
    <row r="24" spans="1:5" ht="16.5">
      <c r="A24" s="29">
        <v>22</v>
      </c>
      <c r="B24" s="33" t="s">
        <v>2411</v>
      </c>
      <c r="C24" s="757"/>
      <c r="D24" s="757"/>
      <c r="E24" s="757"/>
    </row>
    <row r="25" spans="1:5" ht="16.5">
      <c r="A25" s="29">
        <v>23</v>
      </c>
      <c r="B25" s="33" t="s">
        <v>2412</v>
      </c>
    </row>
    <row r="26" spans="1:5" ht="16.5">
      <c r="A26" s="29">
        <v>24</v>
      </c>
      <c r="B26" s="33" t="s">
        <v>2395</v>
      </c>
    </row>
    <row r="27" spans="1:5" ht="17.25" thickBot="1">
      <c r="A27" s="30">
        <v>25</v>
      </c>
      <c r="B27" s="34" t="s">
        <v>2396</v>
      </c>
    </row>
  </sheetData>
  <mergeCells count="1">
    <mergeCell ref="A1:B1"/>
  </mergeCells>
  <phoneticPr fontId="3" type="noConversion"/>
  <hyperlinks>
    <hyperlink ref="B6" location="'OR02-销售承保'!A1" display="OR02-销售承保"/>
    <hyperlink ref="B7" location="'OR06-理赔保全'!A1" display="OR06-理赔保全"/>
    <hyperlink ref="B8" location="'OR10-资金运用'!A1" display="OR10-资金运用"/>
    <hyperlink ref="B9" location="'OR12-财务管理'!A1" display="OR12-财务管理"/>
    <hyperlink ref="B10" location="'OR15-准备金再保险'!A1" display="OR15-准备金再保险"/>
    <hyperlink ref="B11" location="'OR18-合规风险'!A1" display="OR18-合规风险"/>
    <hyperlink ref="B12" location="'RR01-声誉风险'!A1" display="RR01-声誉风险"/>
    <hyperlink ref="B3" location="'OR04-分公司销售、承保、保全'!A1" display="OR04-人身保险公司分支机构销售、承保、保全业务线操作风险"/>
    <hyperlink ref="B4" location="'OR08-分公司理赔'!A1" display="OR08-人身保险公司分支机构理赔业务线操作风险"/>
    <hyperlink ref="B5" location="'OR13-分公司财务管理'!A1" display="OR13-保险分支机构财务管理操作风险"/>
    <hyperlink ref="B13" location="信息系统!A1" display="信息系统"/>
    <hyperlink ref="B14" location="案件管理!A1" display="案件管理"/>
    <hyperlink ref="B15" location="流动性风险!A1" display="流动性风险"/>
    <hyperlink ref="B16" location="公司治理!A1" display="公司治理"/>
    <hyperlink ref="B17" location="战略风险!A1" display="战略风险"/>
    <hyperlink ref="B18" location="'FM02-分支机构封面页'!A1" display="分支机构页"/>
    <hyperlink ref="B20" location="'总公司绩效-I'!A1" display="总公司绩效-I"/>
    <hyperlink ref="B21" location="'总公司绩效-II'!A1" display="总公司绩效-II"/>
    <hyperlink ref="B22" location="分公司绩效!A1" display="分公司绩效"/>
    <hyperlink ref="B23" location="退撤保率!A1" display="退撤保率"/>
    <hyperlink ref="B24" location="续期收费率!A1" display="续期收费率"/>
    <hyperlink ref="B25" location="新契约回访完成率!A1" display="新契约回访完成率"/>
    <hyperlink ref="B26" location="犹豫期内电话回访成功率!A1" display="犹豫期内电话回访成功率"/>
    <hyperlink ref="B27" location="员工流失率!A1" display="员工流失率"/>
    <hyperlink ref="B19" location="绩效总分!A1" display="绩效总分"/>
  </hyperlink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00B050"/>
  </sheetPr>
  <dimension ref="A1:K36"/>
  <sheetViews>
    <sheetView workbookViewId="0">
      <pane xSplit="1" ySplit="1" topLeftCell="B2" activePane="bottomRight" state="frozen"/>
      <selection pane="topRight" activeCell="B1" sqref="B1"/>
      <selection pane="bottomLeft" activeCell="A2" sqref="A2"/>
      <selection pane="bottomRight" activeCell="C18" sqref="C18"/>
    </sheetView>
  </sheetViews>
  <sheetFormatPr defaultColWidth="8.875" defaultRowHeight="14.25"/>
  <cols>
    <col min="1" max="1" width="20.5" style="295" bestFit="1" customWidth="1"/>
    <col min="2" max="2" width="22" style="295" customWidth="1"/>
    <col min="3" max="3" width="20.5" style="292" bestFit="1" customWidth="1"/>
    <col min="4" max="6" width="18.875" style="293" customWidth="1"/>
    <col min="7" max="7" width="19.875" style="293" customWidth="1"/>
    <col min="8" max="8" width="19.625" style="293" customWidth="1"/>
    <col min="9" max="9" width="18.875" style="293" customWidth="1"/>
    <col min="10" max="10" width="21.25" style="293" customWidth="1"/>
    <col min="11" max="11" width="20.25" style="293" customWidth="1"/>
    <col min="12" max="16384" width="8.875" style="293"/>
  </cols>
  <sheetData>
    <row r="1" spans="1:11" ht="15">
      <c r="A1" s="1174" t="s">
        <v>1483</v>
      </c>
      <c r="B1" s="1175" t="s">
        <v>2251</v>
      </c>
      <c r="C1" s="293"/>
    </row>
    <row r="2" spans="1:11">
      <c r="A2" s="296" t="s">
        <v>1485</v>
      </c>
      <c r="B2" s="297" t="s">
        <v>2040</v>
      </c>
      <c r="C2" s="297" t="str">
        <f>B2</f>
        <v>2018年第2季度</v>
      </c>
      <c r="D2" s="297" t="str">
        <f t="shared" ref="D2:K2" si="0">C2</f>
        <v>2018年第2季度</v>
      </c>
      <c r="E2" s="297" t="str">
        <f t="shared" si="0"/>
        <v>2018年第2季度</v>
      </c>
      <c r="F2" s="297" t="str">
        <f t="shared" si="0"/>
        <v>2018年第2季度</v>
      </c>
      <c r="G2" s="297" t="str">
        <f t="shared" si="0"/>
        <v>2018年第2季度</v>
      </c>
      <c r="H2" s="297" t="str">
        <f t="shared" si="0"/>
        <v>2018年第2季度</v>
      </c>
      <c r="I2" s="297" t="str">
        <f t="shared" si="0"/>
        <v>2018年第2季度</v>
      </c>
      <c r="J2" s="297" t="s">
        <v>2040</v>
      </c>
      <c r="K2" s="297" t="str">
        <f t="shared" si="0"/>
        <v>2018年第2季度</v>
      </c>
    </row>
    <row r="3" spans="1:11" ht="28.5">
      <c r="A3" s="296" t="s">
        <v>1487</v>
      </c>
      <c r="B3" s="302" t="s">
        <v>1562</v>
      </c>
      <c r="C3" s="302" t="s">
        <v>1510</v>
      </c>
      <c r="D3" s="297" t="s">
        <v>1520</v>
      </c>
      <c r="E3" s="1014" t="s">
        <v>1546</v>
      </c>
      <c r="F3" s="891" t="s">
        <v>1552</v>
      </c>
      <c r="G3" s="891" t="s">
        <v>1569</v>
      </c>
      <c r="H3" s="891" t="s">
        <v>1585</v>
      </c>
      <c r="I3" s="1015" t="s">
        <v>1534</v>
      </c>
      <c r="J3" s="891" t="s">
        <v>1567</v>
      </c>
      <c r="K3" s="891" t="s">
        <v>1544</v>
      </c>
    </row>
    <row r="4" spans="1:11" ht="42.75">
      <c r="A4" s="296" t="s">
        <v>1488</v>
      </c>
      <c r="B4" s="302" t="s">
        <v>1563</v>
      </c>
      <c r="C4" s="302" t="s">
        <v>1511</v>
      </c>
      <c r="D4" s="297" t="s">
        <v>1561</v>
      </c>
      <c r="E4" s="306" t="s">
        <v>2063</v>
      </c>
      <c r="F4" s="1013" t="s">
        <v>1553</v>
      </c>
      <c r="G4" s="1013" t="s">
        <v>2061</v>
      </c>
      <c r="H4" s="1013" t="s">
        <v>2064</v>
      </c>
      <c r="I4" s="298" t="s">
        <v>1535</v>
      </c>
      <c r="J4" s="1013" t="s">
        <v>2062</v>
      </c>
      <c r="K4" s="1013" t="s">
        <v>1545</v>
      </c>
    </row>
    <row r="5" spans="1:11">
      <c r="A5" s="296" t="s">
        <v>1489</v>
      </c>
      <c r="B5" s="297" t="s">
        <v>1490</v>
      </c>
      <c r="C5" s="297" t="s">
        <v>1490</v>
      </c>
      <c r="D5" s="297" t="s">
        <v>1490</v>
      </c>
      <c r="E5" s="297" t="s">
        <v>1490</v>
      </c>
      <c r="F5" s="297" t="s">
        <v>1490</v>
      </c>
      <c r="G5" s="297" t="s">
        <v>1490</v>
      </c>
      <c r="H5" s="297" t="s">
        <v>1490</v>
      </c>
      <c r="I5" s="297" t="s">
        <v>1490</v>
      </c>
      <c r="J5" s="297" t="s">
        <v>1490</v>
      </c>
      <c r="K5" s="297" t="s">
        <v>1490</v>
      </c>
    </row>
    <row r="6" spans="1:11">
      <c r="A6" s="296" t="s">
        <v>1491</v>
      </c>
      <c r="B6" s="297" t="s">
        <v>1564</v>
      </c>
      <c r="C6" s="302" t="s">
        <v>1512</v>
      </c>
      <c r="D6" s="302" t="s">
        <v>2038</v>
      </c>
      <c r="E6" s="297" t="s">
        <v>1528</v>
      </c>
      <c r="F6" s="297" t="s">
        <v>1554</v>
      </c>
      <c r="G6" s="297" t="s">
        <v>1570</v>
      </c>
      <c r="H6" s="297" t="s">
        <v>1586</v>
      </c>
      <c r="I6" s="297" t="s">
        <v>1536</v>
      </c>
      <c r="J6" s="297" t="s">
        <v>2054</v>
      </c>
      <c r="K6" s="297" t="s">
        <v>1577</v>
      </c>
    </row>
    <row r="7" spans="1:11" ht="57">
      <c r="A7" s="296" t="s">
        <v>1493</v>
      </c>
      <c r="B7" s="1014" t="s">
        <v>1565</v>
      </c>
      <c r="C7" s="1014" t="s">
        <v>1513</v>
      </c>
      <c r="D7" s="891" t="s">
        <v>1521</v>
      </c>
      <c r="E7" s="1014" t="s">
        <v>1547</v>
      </c>
      <c r="F7" s="891" t="s">
        <v>1555</v>
      </c>
      <c r="G7" s="891" t="s">
        <v>1571</v>
      </c>
      <c r="H7" s="891" t="s">
        <v>1587</v>
      </c>
      <c r="I7" s="1015" t="s">
        <v>1537</v>
      </c>
      <c r="J7" s="1015" t="s">
        <v>2060</v>
      </c>
      <c r="K7" s="891" t="s">
        <v>1578</v>
      </c>
    </row>
    <row r="8" spans="1:11" ht="28.5">
      <c r="A8" s="296" t="s">
        <v>1494</v>
      </c>
      <c r="B8" s="299">
        <v>56110000</v>
      </c>
      <c r="C8" s="1016" t="s">
        <v>1514</v>
      </c>
      <c r="D8" s="1013" t="s">
        <v>1522</v>
      </c>
      <c r="E8" s="299" t="s">
        <v>1594</v>
      </c>
      <c r="F8" s="1017" t="s">
        <v>1593</v>
      </c>
      <c r="G8" s="1018" t="s">
        <v>1592</v>
      </c>
      <c r="H8" s="1019" t="s">
        <v>1588</v>
      </c>
      <c r="I8" s="299" t="s">
        <v>1538</v>
      </c>
      <c r="J8" s="1016" t="s">
        <v>2065</v>
      </c>
      <c r="K8" s="1020" t="s">
        <v>1579</v>
      </c>
    </row>
    <row r="9" spans="1:11">
      <c r="A9" s="296" t="s">
        <v>1495</v>
      </c>
      <c r="B9" s="303">
        <v>38768</v>
      </c>
      <c r="C9" s="303">
        <v>39568</v>
      </c>
      <c r="D9" s="303">
        <v>39267</v>
      </c>
      <c r="E9" s="303">
        <v>41170</v>
      </c>
      <c r="F9" s="303">
        <v>39007</v>
      </c>
      <c r="G9" s="303">
        <v>39435</v>
      </c>
      <c r="H9" s="307">
        <v>38497</v>
      </c>
      <c r="I9" s="300">
        <v>39709</v>
      </c>
      <c r="J9" s="297" t="s">
        <v>1568</v>
      </c>
      <c r="K9" s="890">
        <v>39476</v>
      </c>
    </row>
    <row r="10" spans="1:11" ht="114">
      <c r="A10" s="892" t="s">
        <v>1496</v>
      </c>
      <c r="B10" s="1014" t="s">
        <v>2041</v>
      </c>
      <c r="C10" s="1014" t="s">
        <v>1515</v>
      </c>
      <c r="D10" s="891" t="s">
        <v>1523</v>
      </c>
      <c r="E10" s="1014" t="s">
        <v>1548</v>
      </c>
      <c r="F10" s="1014" t="s">
        <v>1556</v>
      </c>
      <c r="G10" s="891" t="s">
        <v>1572</v>
      </c>
      <c r="H10" s="891" t="s">
        <v>1589</v>
      </c>
      <c r="I10" s="1015" t="s">
        <v>1539</v>
      </c>
      <c r="J10" s="891" t="s">
        <v>2055</v>
      </c>
      <c r="K10" s="891" t="s">
        <v>1580</v>
      </c>
    </row>
    <row r="11" spans="1:11">
      <c r="A11" s="296" t="s">
        <v>1498</v>
      </c>
      <c r="B11" s="302" t="s">
        <v>2042</v>
      </c>
      <c r="C11" s="302" t="s">
        <v>1516</v>
      </c>
      <c r="D11" s="297" t="s">
        <v>1524</v>
      </c>
      <c r="E11" s="302" t="s">
        <v>1529</v>
      </c>
      <c r="F11" s="302" t="s">
        <v>1557</v>
      </c>
      <c r="G11" s="297" t="s">
        <v>1573</v>
      </c>
      <c r="H11" s="297" t="s">
        <v>1530</v>
      </c>
      <c r="I11" s="298" t="s">
        <v>1540</v>
      </c>
      <c r="J11" s="298" t="s">
        <v>2056</v>
      </c>
      <c r="K11" s="297" t="s">
        <v>1581</v>
      </c>
    </row>
    <row r="12" spans="1:11">
      <c r="A12" s="296" t="s">
        <v>1499</v>
      </c>
      <c r="B12" s="302" t="s">
        <v>2043</v>
      </c>
      <c r="C12" s="302" t="s">
        <v>1517</v>
      </c>
      <c r="D12" s="297" t="s">
        <v>1525</v>
      </c>
      <c r="E12" s="302" t="s">
        <v>1549</v>
      </c>
      <c r="F12" s="302" t="s">
        <v>1558</v>
      </c>
      <c r="G12" s="297" t="s">
        <v>1574</v>
      </c>
      <c r="H12" s="297" t="s">
        <v>1531</v>
      </c>
      <c r="I12" s="298" t="s">
        <v>1541</v>
      </c>
      <c r="J12" s="297" t="s">
        <v>2057</v>
      </c>
      <c r="K12" s="302" t="s">
        <v>1582</v>
      </c>
    </row>
    <row r="13" spans="1:11">
      <c r="A13" s="296" t="s">
        <v>1500</v>
      </c>
      <c r="B13" s="302">
        <v>15210341251</v>
      </c>
      <c r="C13" s="302">
        <v>13821316199</v>
      </c>
      <c r="D13" s="302">
        <v>18940137770</v>
      </c>
      <c r="E13" s="302">
        <v>14741065816</v>
      </c>
      <c r="F13" s="302">
        <v>18651861196</v>
      </c>
      <c r="G13" s="302">
        <v>18615632891</v>
      </c>
      <c r="H13" s="302">
        <v>15621025971</v>
      </c>
      <c r="I13" s="298">
        <v>15136239636</v>
      </c>
      <c r="J13" s="302">
        <v>18588868174</v>
      </c>
      <c r="K13" s="302">
        <v>18244265821</v>
      </c>
    </row>
    <row r="14" spans="1:11">
      <c r="A14" s="296" t="s">
        <v>1501</v>
      </c>
      <c r="B14" s="302" t="s">
        <v>1566</v>
      </c>
      <c r="C14" s="302" t="s">
        <v>1518</v>
      </c>
      <c r="D14" s="297" t="s">
        <v>1526</v>
      </c>
      <c r="E14" s="302" t="s">
        <v>1550</v>
      </c>
      <c r="F14" s="302" t="s">
        <v>1559</v>
      </c>
      <c r="G14" s="297" t="s">
        <v>1575</v>
      </c>
      <c r="H14" s="297" t="s">
        <v>1532</v>
      </c>
      <c r="I14" s="298" t="s">
        <v>1542</v>
      </c>
      <c r="J14" s="297" t="s">
        <v>2058</v>
      </c>
      <c r="K14" s="302" t="s">
        <v>1583</v>
      </c>
    </row>
    <row r="15" spans="1:11" ht="28.5">
      <c r="A15" s="296" t="s">
        <v>1502</v>
      </c>
      <c r="B15" s="302" t="s">
        <v>2044</v>
      </c>
      <c r="C15" s="302" t="s">
        <v>1519</v>
      </c>
      <c r="D15" s="297" t="s">
        <v>1527</v>
      </c>
      <c r="E15" s="302" t="s">
        <v>1551</v>
      </c>
      <c r="F15" s="302" t="s">
        <v>1560</v>
      </c>
      <c r="G15" s="302" t="s">
        <v>1576</v>
      </c>
      <c r="H15" s="297" t="s">
        <v>1533</v>
      </c>
      <c r="I15" s="298" t="s">
        <v>1543</v>
      </c>
      <c r="J15" s="298" t="s">
        <v>2059</v>
      </c>
      <c r="K15" s="302" t="s">
        <v>1584</v>
      </c>
    </row>
    <row r="16" spans="1:11" ht="15" thickBot="1">
      <c r="A16" s="294" t="s">
        <v>1504</v>
      </c>
      <c r="B16" s="301" t="s">
        <v>1484</v>
      </c>
      <c r="C16" s="304" t="s">
        <v>1486</v>
      </c>
      <c r="D16" s="301" t="s">
        <v>1492</v>
      </c>
      <c r="E16" s="301" t="s">
        <v>1508</v>
      </c>
      <c r="F16" s="301" t="s">
        <v>1497</v>
      </c>
      <c r="G16" s="301" t="s">
        <v>1503</v>
      </c>
      <c r="H16" s="301" t="s">
        <v>1509</v>
      </c>
      <c r="I16" s="301" t="s">
        <v>1505</v>
      </c>
      <c r="J16" s="301" t="s">
        <v>1506</v>
      </c>
      <c r="K16" s="301" t="s">
        <v>1507</v>
      </c>
    </row>
    <row r="17" spans="1:2">
      <c r="A17" s="293"/>
      <c r="B17" s="293"/>
    </row>
    <row r="18" spans="1:2">
      <c r="A18" s="293"/>
      <c r="B18" s="293"/>
    </row>
    <row r="19" spans="1:2">
      <c r="A19" s="293"/>
      <c r="B19" s="293"/>
    </row>
    <row r="20" spans="1:2">
      <c r="A20" s="889" t="s">
        <v>2472</v>
      </c>
      <c r="B20" s="293"/>
    </row>
    <row r="21" spans="1:2">
      <c r="A21" s="293"/>
      <c r="B21" s="293"/>
    </row>
    <row r="22" spans="1:2">
      <c r="A22" s="293"/>
      <c r="B22" s="293"/>
    </row>
    <row r="23" spans="1:2">
      <c r="A23" s="293"/>
      <c r="B23" s="293"/>
    </row>
    <row r="24" spans="1:2">
      <c r="A24" s="293"/>
    </row>
    <row r="25" spans="1:2">
      <c r="A25" s="293"/>
      <c r="B25" s="293"/>
    </row>
    <row r="26" spans="1:2">
      <c r="A26" s="293"/>
      <c r="B26" s="293"/>
    </row>
    <row r="27" spans="1:2">
      <c r="A27" s="293"/>
      <c r="B27" s="293"/>
    </row>
    <row r="28" spans="1:2">
      <c r="A28" s="293"/>
      <c r="B28" s="293"/>
    </row>
    <row r="29" spans="1:2">
      <c r="A29" s="293"/>
      <c r="B29" s="293"/>
    </row>
    <row r="30" spans="1:2">
      <c r="A30" s="293"/>
      <c r="B30" s="293"/>
    </row>
    <row r="31" spans="1:2">
      <c r="A31" s="293"/>
      <c r="B31" s="293"/>
    </row>
    <row r="32" spans="1:2">
      <c r="A32" s="293"/>
      <c r="B32" s="293"/>
    </row>
    <row r="33" spans="1:2">
      <c r="A33" s="293"/>
      <c r="B33" s="293"/>
    </row>
    <row r="34" spans="1:2">
      <c r="A34" s="293"/>
      <c r="B34" s="293"/>
    </row>
    <row r="35" spans="1:2">
      <c r="A35" s="293"/>
      <c r="B35" s="293"/>
    </row>
    <row r="36" spans="1:2">
      <c r="A36" s="293"/>
      <c r="B36" s="293"/>
    </row>
  </sheetData>
  <phoneticPr fontId="12" type="noConversion"/>
  <dataValidations count="2">
    <dataValidation type="list" allowBlank="1" showInputMessage="1" showErrorMessage="1" sqref="D16:K16 B5:K5 B16">
      <formula1>#REF!</formula1>
    </dataValidation>
    <dataValidation type="list" allowBlank="1" showInputMessage="1" showErrorMessage="1" sqref="C16">
      <formula1>隶属保监局</formula1>
    </dataValidation>
  </dataValidations>
  <hyperlinks>
    <hyperlink ref="C15" r:id="rId1"/>
    <hyperlink ref="E15" r:id="rId2"/>
    <hyperlink ref="G15" r:id="rId3"/>
    <hyperlink ref="H15" r:id="rId4"/>
    <hyperlink ref="K15" r:id="rId5"/>
  </hyperlink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theme="5"/>
  </sheetPr>
  <dimension ref="A1:Y147"/>
  <sheetViews>
    <sheetView workbookViewId="0">
      <selection activeCell="J178" sqref="J178"/>
    </sheetView>
  </sheetViews>
  <sheetFormatPr defaultColWidth="9" defaultRowHeight="13.5" outlineLevelRow="1" outlineLevelCol="1"/>
  <cols>
    <col min="1" max="1" width="13.375" style="757" customWidth="1"/>
    <col min="2" max="2" width="23.75" style="757" bestFit="1" customWidth="1"/>
    <col min="3" max="3" width="7.375" style="830" customWidth="1"/>
    <col min="4" max="4" width="8.75" style="830" customWidth="1"/>
    <col min="5" max="5" width="8.5" style="830" customWidth="1"/>
    <col min="6" max="6" width="8" style="830" customWidth="1"/>
    <col min="7" max="7" width="7.625" style="830" customWidth="1"/>
    <col min="8" max="8" width="7.375" style="830" bestFit="1" customWidth="1"/>
    <col min="9" max="9" width="8.625" style="830" customWidth="1" outlineLevel="1"/>
    <col min="10" max="10" width="7.75" style="830" customWidth="1" outlineLevel="1"/>
    <col min="11" max="11" width="8.25" style="830" customWidth="1" outlineLevel="1"/>
    <col min="12" max="12" width="8.625" style="830" customWidth="1" outlineLevel="1"/>
    <col min="13" max="13" width="8.375" style="830" customWidth="1" outlineLevel="1"/>
    <col min="14" max="14" width="7.875" style="830" customWidth="1" outlineLevel="1"/>
    <col min="15" max="15" width="8.625" style="830" customWidth="1" outlineLevel="1"/>
    <col min="16" max="16" width="9.375" style="830" customWidth="1" outlineLevel="1"/>
    <col min="17" max="17" width="9.5" style="830" customWidth="1" outlineLevel="1"/>
    <col min="18" max="18" width="9.875" style="830" customWidth="1" outlineLevel="1"/>
    <col min="19" max="19" width="10.375" style="830" customWidth="1"/>
    <col min="20" max="20" width="17.25" style="830" customWidth="1"/>
    <col min="21" max="21" width="16.5" style="830" customWidth="1"/>
    <col min="22" max="16384" width="9" style="757"/>
  </cols>
  <sheetData>
    <row r="1" spans="1:25">
      <c r="B1" s="973"/>
      <c r="D1" s="888" t="s">
        <v>2080</v>
      </c>
    </row>
    <row r="2" spans="1:25" ht="13.5" customHeight="1">
      <c r="A2" s="1512" t="s">
        <v>1965</v>
      </c>
      <c r="B2" s="1512"/>
      <c r="C2" s="1528" t="s">
        <v>1966</v>
      </c>
      <c r="D2" s="1528" t="s">
        <v>1812</v>
      </c>
      <c r="E2" s="1528" t="s">
        <v>1708</v>
      </c>
      <c r="F2" s="1528" t="s">
        <v>2011</v>
      </c>
      <c r="G2" s="1528" t="s">
        <v>2012</v>
      </c>
      <c r="N2" s="952"/>
      <c r="O2" s="1528" t="s">
        <v>2018</v>
      </c>
      <c r="P2" s="1528" t="s">
        <v>2017</v>
      </c>
      <c r="Q2" s="963" t="s">
        <v>2019</v>
      </c>
      <c r="R2" s="963" t="s">
        <v>2020</v>
      </c>
      <c r="S2" s="963" t="s">
        <v>2021</v>
      </c>
    </row>
    <row r="3" spans="1:25" ht="15.75" customHeight="1">
      <c r="A3" s="1512"/>
      <c r="B3" s="1512"/>
      <c r="C3" s="1528"/>
      <c r="D3" s="1528"/>
      <c r="E3" s="1528"/>
      <c r="F3" s="1528"/>
      <c r="G3" s="1528"/>
      <c r="N3" s="952"/>
      <c r="O3" s="1528"/>
      <c r="P3" s="1528"/>
      <c r="Q3" s="960"/>
      <c r="R3" s="961" t="s">
        <v>2016</v>
      </c>
      <c r="S3" s="962" t="s">
        <v>2015</v>
      </c>
      <c r="Y3" s="830"/>
    </row>
    <row r="4" spans="1:25" ht="15">
      <c r="A4" s="1518" t="s">
        <v>1919</v>
      </c>
      <c r="B4" s="875" t="s">
        <v>1920</v>
      </c>
      <c r="C4" s="835" t="s">
        <v>1921</v>
      </c>
      <c r="D4" s="974">
        <f>D25</f>
        <v>68.664550203677209</v>
      </c>
      <c r="E4" s="974">
        <v>70.277943517117549</v>
      </c>
      <c r="F4" s="1007">
        <f>D4-E4</f>
        <v>-1.6133933134403406</v>
      </c>
      <c r="G4" s="1010">
        <f>F4/36</f>
        <v>-4.4816480928898353E-2</v>
      </c>
      <c r="N4" s="952"/>
      <c r="O4" s="1046">
        <f>E19</f>
        <v>91.84188731991992</v>
      </c>
      <c r="P4" s="875" t="str">
        <f>E2</f>
        <v>Q1得分</v>
      </c>
      <c r="Q4" s="966">
        <f>O4</f>
        <v>91.84188731991992</v>
      </c>
      <c r="R4" s="964">
        <v>0</v>
      </c>
      <c r="S4" s="968">
        <v>0</v>
      </c>
    </row>
    <row r="5" spans="1:25" ht="15">
      <c r="A5" s="1518"/>
      <c r="B5" s="876" t="s">
        <v>1925</v>
      </c>
      <c r="C5" s="834" t="s">
        <v>1921</v>
      </c>
      <c r="D5" s="887">
        <f t="shared" ref="D5:D9" si="0">D26</f>
        <v>68.09</v>
      </c>
      <c r="E5" s="887">
        <v>67.28</v>
      </c>
      <c r="F5" s="1008">
        <f t="shared" ref="F5:F16" si="1">D5-E5</f>
        <v>0.81000000000000227</v>
      </c>
      <c r="G5" s="1011">
        <f t="shared" ref="G5:G7" si="2">F5/36</f>
        <v>2.2500000000000062E-2</v>
      </c>
      <c r="N5" s="952"/>
      <c r="O5" s="1046">
        <f>G4</f>
        <v>-4.4816480928898353E-2</v>
      </c>
      <c r="P5" s="875" t="str">
        <f>B4</f>
        <v>销售、承保、保全业务线</v>
      </c>
      <c r="Q5" s="955">
        <f>Q4+R4-S5</f>
        <v>91.797070838991019</v>
      </c>
      <c r="R5" s="965">
        <f t="shared" ref="R5:R7" si="3">IF(O5&gt;0,O5,0)</f>
        <v>0</v>
      </c>
      <c r="S5" s="967">
        <f t="shared" ref="S5:S7" si="4">IF(O5&lt;0,ABS(O5),0)</f>
        <v>4.4816480928898353E-2</v>
      </c>
    </row>
    <row r="6" spans="1:25" ht="15">
      <c r="A6" s="1518"/>
      <c r="B6" s="876" t="s">
        <v>1926</v>
      </c>
      <c r="C6" s="834" t="s">
        <v>1921</v>
      </c>
      <c r="D6" s="887">
        <f t="shared" si="0"/>
        <v>74.66</v>
      </c>
      <c r="E6" s="887">
        <v>73.02</v>
      </c>
      <c r="F6" s="1008">
        <f t="shared" si="1"/>
        <v>1.6400000000000006</v>
      </c>
      <c r="G6" s="1011">
        <f t="shared" si="2"/>
        <v>4.5555555555555571E-2</v>
      </c>
      <c r="N6" s="952"/>
      <c r="O6" s="1046">
        <f>G5</f>
        <v>2.2500000000000062E-2</v>
      </c>
      <c r="P6" s="875" t="str">
        <f>B5</f>
        <v>理赔业务线</v>
      </c>
      <c r="Q6" s="955">
        <f t="shared" ref="Q6:Q11" si="5">Q5+R5-S6</f>
        <v>91.797070838991019</v>
      </c>
      <c r="R6" s="965">
        <f t="shared" si="3"/>
        <v>2.2500000000000062E-2</v>
      </c>
      <c r="S6" s="967">
        <f t="shared" si="4"/>
        <v>0</v>
      </c>
    </row>
    <row r="7" spans="1:25" ht="15">
      <c r="A7" s="1518"/>
      <c r="B7" s="876" t="s">
        <v>1927</v>
      </c>
      <c r="C7" s="834" t="s">
        <v>1921</v>
      </c>
      <c r="D7" s="887">
        <f t="shared" si="0"/>
        <v>80</v>
      </c>
      <c r="E7" s="887">
        <v>80</v>
      </c>
      <c r="F7" s="887">
        <f t="shared" si="1"/>
        <v>0</v>
      </c>
      <c r="G7" s="256">
        <f t="shared" si="2"/>
        <v>0</v>
      </c>
      <c r="N7" s="952"/>
      <c r="O7" s="1046">
        <f>G6</f>
        <v>4.5555555555555571E-2</v>
      </c>
      <c r="P7" s="875" t="str">
        <f>B6</f>
        <v>财务管理</v>
      </c>
      <c r="Q7" s="955">
        <f t="shared" si="5"/>
        <v>91.819570838991012</v>
      </c>
      <c r="R7" s="965">
        <f t="shared" si="3"/>
        <v>4.5555555555555571E-2</v>
      </c>
      <c r="S7" s="967">
        <f t="shared" si="4"/>
        <v>0</v>
      </c>
    </row>
    <row r="8" spans="1:25" ht="15">
      <c r="A8" s="1518"/>
      <c r="B8" s="876" t="s">
        <v>1929</v>
      </c>
      <c r="C8" s="834" t="s">
        <v>1921</v>
      </c>
      <c r="D8" s="887" t="str">
        <f t="shared" si="0"/>
        <v>无扣分</v>
      </c>
      <c r="E8" s="887" t="str">
        <f>E29</f>
        <v>无扣分</v>
      </c>
      <c r="F8" s="958"/>
      <c r="G8" s="958"/>
      <c r="N8" s="952"/>
      <c r="O8" s="1046">
        <f>G9</f>
        <v>2.7777777777777776E-2</v>
      </c>
      <c r="P8" s="875" t="str">
        <f>B9</f>
        <v>公司治理业务线</v>
      </c>
      <c r="Q8" s="955">
        <f t="shared" si="5"/>
        <v>91.865126394546564</v>
      </c>
      <c r="R8" s="965">
        <f>IF(O8&gt;0,O8,0)</f>
        <v>2.7777777777777776E-2</v>
      </c>
      <c r="S8" s="967">
        <f>IF(O8&lt;0,ABS(O8),0)</f>
        <v>0</v>
      </c>
    </row>
    <row r="9" spans="1:25" ht="15">
      <c r="A9" s="1518"/>
      <c r="B9" s="876" t="s">
        <v>1931</v>
      </c>
      <c r="C9" s="834" t="s">
        <v>1921</v>
      </c>
      <c r="D9" s="887">
        <f t="shared" si="0"/>
        <v>88</v>
      </c>
      <c r="E9" s="887">
        <v>87</v>
      </c>
      <c r="F9" s="1008">
        <f t="shared" si="1"/>
        <v>1</v>
      </c>
      <c r="G9" s="1011">
        <f t="shared" ref="G9:G12" si="6">F9/36</f>
        <v>2.7777777777777776E-2</v>
      </c>
      <c r="N9" s="952"/>
      <c r="O9" s="1046">
        <f>G10</f>
        <v>0.1111111111111111</v>
      </c>
      <c r="P9" s="875" t="str">
        <f>B10</f>
        <v>准备金、再保险管理</v>
      </c>
      <c r="Q9" s="955">
        <f t="shared" si="5"/>
        <v>91.892904172324336</v>
      </c>
      <c r="R9" s="965">
        <f>IF(O9&gt;0,O9,0)</f>
        <v>0.1111111111111111</v>
      </c>
      <c r="S9" s="967">
        <f>IF(O9&lt;0,ABS(O9),0)</f>
        <v>0</v>
      </c>
    </row>
    <row r="10" spans="1:25" ht="15">
      <c r="A10" s="1518"/>
      <c r="B10" s="876" t="s">
        <v>1932</v>
      </c>
      <c r="C10" s="834" t="s">
        <v>1921</v>
      </c>
      <c r="D10" s="887">
        <f t="shared" ref="D10:D18" si="7">D31</f>
        <v>70</v>
      </c>
      <c r="E10" s="887">
        <v>68</v>
      </c>
      <c r="F10" s="1008">
        <f t="shared" si="1"/>
        <v>2</v>
      </c>
      <c r="G10" s="1011">
        <f>F10/18</f>
        <v>0.1111111111111111</v>
      </c>
      <c r="N10" s="952"/>
      <c r="O10" s="1046">
        <f>G15</f>
        <v>0.1</v>
      </c>
      <c r="P10" s="875" t="str">
        <f>A15</f>
        <v>声誉风险</v>
      </c>
      <c r="Q10" s="955">
        <f t="shared" si="5"/>
        <v>92.00401528343545</v>
      </c>
      <c r="R10" s="965">
        <f>IF(O10&gt;0,O10,0)</f>
        <v>0.1</v>
      </c>
      <c r="S10" s="967">
        <f>IF(O10&lt;0,ABS(O10),0)</f>
        <v>0</v>
      </c>
    </row>
    <row r="11" spans="1:25" ht="15">
      <c r="A11" s="1518"/>
      <c r="B11" s="876" t="s">
        <v>1934</v>
      </c>
      <c r="C11" s="834" t="s">
        <v>1921</v>
      </c>
      <c r="D11" s="887">
        <f t="shared" si="7"/>
        <v>89.429999999999993</v>
      </c>
      <c r="E11" s="887">
        <v>89.429999999999922</v>
      </c>
      <c r="F11" s="887">
        <f t="shared" si="1"/>
        <v>0</v>
      </c>
      <c r="G11" s="256">
        <f t="shared" si="6"/>
        <v>0</v>
      </c>
      <c r="N11" s="952"/>
      <c r="O11" s="1046">
        <f>G16</f>
        <v>-0.55555555555555536</v>
      </c>
      <c r="P11" s="875" t="str">
        <f>A16</f>
        <v>流动性风险</v>
      </c>
      <c r="Q11" s="955">
        <f t="shared" si="5"/>
        <v>91.548459727879887</v>
      </c>
      <c r="R11" s="965">
        <f>IF(O11&gt;0,O11,0)</f>
        <v>0</v>
      </c>
      <c r="S11" s="967">
        <f>IF(O11&lt;0,ABS(O11),0)</f>
        <v>0.55555555555555536</v>
      </c>
    </row>
    <row r="12" spans="1:25" ht="15">
      <c r="A12" s="1518"/>
      <c r="B12" s="876" t="s">
        <v>1935</v>
      </c>
      <c r="C12" s="834" t="s">
        <v>1921</v>
      </c>
      <c r="D12" s="887">
        <f t="shared" si="7"/>
        <v>76.5</v>
      </c>
      <c r="E12" s="887">
        <v>76.5</v>
      </c>
      <c r="F12" s="887">
        <f t="shared" si="1"/>
        <v>0</v>
      </c>
      <c r="G12" s="256">
        <f t="shared" si="6"/>
        <v>0</v>
      </c>
      <c r="N12" s="952"/>
      <c r="O12" s="1047">
        <f>SUM(O4:O11)</f>
        <v>91.548459727879887</v>
      </c>
      <c r="P12" s="875" t="str">
        <f>D2</f>
        <v>Q2得分</v>
      </c>
      <c r="Q12" s="966">
        <f>O12</f>
        <v>91.548459727879887</v>
      </c>
      <c r="R12" s="964">
        <v>0</v>
      </c>
      <c r="S12" s="968">
        <v>0</v>
      </c>
    </row>
    <row r="13" spans="1:25" ht="15">
      <c r="A13" s="1519"/>
      <c r="B13" s="878" t="s">
        <v>1993</v>
      </c>
      <c r="C13" s="834" t="s">
        <v>1937</v>
      </c>
      <c r="D13" s="887">
        <f t="shared" si="7"/>
        <v>76.14939446707524</v>
      </c>
      <c r="E13" s="887">
        <v>75.500882613013061</v>
      </c>
      <c r="F13" s="958"/>
      <c r="G13" s="958"/>
      <c r="N13" s="952"/>
      <c r="O13" s="1048"/>
      <c r="P13" s="991"/>
      <c r="Q13" s="991"/>
      <c r="R13" s="991"/>
      <c r="S13" s="991"/>
    </row>
    <row r="14" spans="1:25" ht="15">
      <c r="A14" s="1513" t="s">
        <v>1939</v>
      </c>
      <c r="B14" s="1514"/>
      <c r="C14" s="834" t="s">
        <v>1937</v>
      </c>
      <c r="D14" s="887">
        <f t="shared" si="7"/>
        <v>92</v>
      </c>
      <c r="E14" s="887">
        <v>92</v>
      </c>
      <c r="F14" s="887">
        <f t="shared" si="1"/>
        <v>0</v>
      </c>
      <c r="G14" s="256">
        <f>F14*U35</f>
        <v>0</v>
      </c>
      <c r="N14" s="952"/>
      <c r="O14" s="1046">
        <f>G11</f>
        <v>0</v>
      </c>
      <c r="P14" s="875" t="str">
        <f>B11</f>
        <v>信息系统</v>
      </c>
      <c r="Q14" s="955">
        <f>Q15+R15-S14</f>
        <v>92.00401528343545</v>
      </c>
      <c r="R14" s="965">
        <f>IF(O14&gt;0,O14,0)</f>
        <v>0</v>
      </c>
      <c r="S14" s="967">
        <f>IF(O14&lt;0,ABS(O14),0)</f>
        <v>0</v>
      </c>
    </row>
    <row r="15" spans="1:25" ht="15">
      <c r="A15" s="1513" t="s">
        <v>1940</v>
      </c>
      <c r="B15" s="1514"/>
      <c r="C15" s="834" t="s">
        <v>1937</v>
      </c>
      <c r="D15" s="887">
        <f t="shared" si="7"/>
        <v>90</v>
      </c>
      <c r="E15" s="887">
        <v>88</v>
      </c>
      <c r="F15" s="1008">
        <f t="shared" si="1"/>
        <v>2</v>
      </c>
      <c r="G15" s="1011">
        <f>F15*U36</f>
        <v>0.1</v>
      </c>
      <c r="I15" s="954"/>
      <c r="J15" s="952"/>
      <c r="K15" s="953"/>
      <c r="L15" s="953"/>
      <c r="M15" s="953"/>
      <c r="N15" s="952"/>
      <c r="O15" s="1046">
        <f>G12</f>
        <v>0</v>
      </c>
      <c r="P15" s="875" t="str">
        <f>B12</f>
        <v>案件管理</v>
      </c>
      <c r="Q15" s="955">
        <f>Q9+R9-S15</f>
        <v>92.00401528343545</v>
      </c>
      <c r="R15" s="965">
        <f>IF(O15&gt;0,O15,0)</f>
        <v>0</v>
      </c>
      <c r="S15" s="967">
        <f>IF(O15&lt;0,ABS(O15),0)</f>
        <v>0</v>
      </c>
    </row>
    <row r="16" spans="1:25" ht="15">
      <c r="A16" s="1513" t="s">
        <v>1941</v>
      </c>
      <c r="B16" s="1514"/>
      <c r="C16" s="779" t="s">
        <v>1937</v>
      </c>
      <c r="D16" s="887">
        <f t="shared" si="7"/>
        <v>88.888888888888886</v>
      </c>
      <c r="E16" s="887">
        <v>93.333333333333329</v>
      </c>
      <c r="F16" s="1009">
        <f t="shared" si="1"/>
        <v>-4.4444444444444429</v>
      </c>
      <c r="G16" s="1012">
        <f>F16*U37</f>
        <v>-0.55555555555555536</v>
      </c>
      <c r="I16" s="953"/>
      <c r="J16" s="952"/>
      <c r="K16" s="953"/>
      <c r="L16" s="953"/>
      <c r="M16" s="953"/>
      <c r="N16" s="952"/>
    </row>
    <row r="17" spans="1:21" ht="15">
      <c r="A17" s="1511" t="s">
        <v>1990</v>
      </c>
      <c r="B17" s="1511"/>
      <c r="C17" s="834" t="s">
        <v>1942</v>
      </c>
      <c r="D17" s="887">
        <f t="shared" si="7"/>
        <v>83.096919455759831</v>
      </c>
      <c r="E17" s="887">
        <v>83.683774639839854</v>
      </c>
      <c r="F17" s="958"/>
      <c r="G17" s="958"/>
      <c r="I17" s="953"/>
      <c r="J17" s="952"/>
      <c r="K17" s="953"/>
      <c r="L17" s="953"/>
      <c r="M17" s="953"/>
      <c r="N17" s="952"/>
    </row>
    <row r="18" spans="1:21" ht="15">
      <c r="A18" s="1515" t="s">
        <v>1943</v>
      </c>
      <c r="B18" s="1515"/>
      <c r="C18" s="834" t="s">
        <v>1942</v>
      </c>
      <c r="D18" s="887">
        <f t="shared" si="7"/>
        <v>100</v>
      </c>
      <c r="E18" s="887">
        <v>100</v>
      </c>
      <c r="F18" s="958"/>
      <c r="G18" s="958"/>
      <c r="I18" s="956"/>
      <c r="J18" s="957"/>
      <c r="K18" s="956"/>
      <c r="L18" s="956"/>
      <c r="M18" s="956"/>
      <c r="N18" s="952"/>
    </row>
    <row r="19" spans="1:21" ht="15">
      <c r="A19" s="1511" t="s">
        <v>1944</v>
      </c>
      <c r="B19" s="1511"/>
      <c r="C19" s="834" t="s">
        <v>1945</v>
      </c>
      <c r="D19" s="959">
        <f>D40</f>
        <v>91.548459727879916</v>
      </c>
      <c r="E19" s="887">
        <v>91.84188731991992</v>
      </c>
      <c r="F19" s="887">
        <f>D19-E19</f>
        <v>-0.29342759204000401</v>
      </c>
      <c r="G19" s="887"/>
      <c r="I19" s="956"/>
      <c r="J19" s="957"/>
      <c r="K19" s="956"/>
      <c r="L19" s="956"/>
      <c r="M19" s="956"/>
      <c r="N19" s="952"/>
      <c r="S19" s="971"/>
    </row>
    <row r="20" spans="1:21">
      <c r="I20" s="956"/>
      <c r="J20" s="957"/>
      <c r="K20" s="956"/>
      <c r="L20" s="956"/>
      <c r="M20" s="956"/>
      <c r="N20" s="952"/>
    </row>
    <row r="22" spans="1:21">
      <c r="A22" s="1517" t="s">
        <v>1964</v>
      </c>
      <c r="B22" s="1517"/>
      <c r="D22" s="895">
        <f>D40</f>
        <v>91.548459727879916</v>
      </c>
      <c r="E22" s="895">
        <f>D22-F22</f>
        <v>0</v>
      </c>
      <c r="F22" s="895">
        <f>D42+D62</f>
        <v>91.548459727879916</v>
      </c>
      <c r="G22" s="886"/>
      <c r="H22" s="886"/>
    </row>
    <row r="23" spans="1:21" ht="15" customHeight="1" outlineLevel="1">
      <c r="A23" s="1522" t="s">
        <v>1965</v>
      </c>
      <c r="B23" s="1522"/>
      <c r="C23" s="1520" t="s">
        <v>1966</v>
      </c>
      <c r="D23" s="1516" t="s">
        <v>1967</v>
      </c>
      <c r="E23" s="1520" t="s">
        <v>1968</v>
      </c>
      <c r="F23" s="1520" t="s">
        <v>1969</v>
      </c>
      <c r="G23" s="1516" t="s">
        <v>1970</v>
      </c>
      <c r="H23" s="1516"/>
      <c r="I23" s="950"/>
      <c r="J23" s="950"/>
      <c r="K23" s="950"/>
      <c r="L23" s="950"/>
      <c r="M23" s="950"/>
      <c r="N23" s="950"/>
      <c r="O23" s="950"/>
      <c r="P23" s="950"/>
      <c r="Q23" s="950"/>
      <c r="R23" s="950"/>
      <c r="S23" s="1524" t="s">
        <v>1971</v>
      </c>
      <c r="T23" s="1524" t="s">
        <v>1972</v>
      </c>
      <c r="U23" s="1524" t="s">
        <v>1973</v>
      </c>
    </row>
    <row r="24" spans="1:21" ht="15" customHeight="1" outlineLevel="1">
      <c r="A24" s="1523"/>
      <c r="B24" s="1523"/>
      <c r="C24" s="1520"/>
      <c r="D24" s="1516"/>
      <c r="E24" s="1520"/>
      <c r="F24" s="1520"/>
      <c r="G24" s="874" t="s">
        <v>1974</v>
      </c>
      <c r="H24" s="874" t="s">
        <v>1975</v>
      </c>
      <c r="I24" s="950" t="s">
        <v>1976</v>
      </c>
      <c r="J24" s="950" t="s">
        <v>1977</v>
      </c>
      <c r="K24" s="950" t="s">
        <v>1978</v>
      </c>
      <c r="L24" s="950" t="s">
        <v>1979</v>
      </c>
      <c r="M24" s="950" t="s">
        <v>1980</v>
      </c>
      <c r="N24" s="950" t="s">
        <v>1981</v>
      </c>
      <c r="O24" s="950" t="s">
        <v>1982</v>
      </c>
      <c r="P24" s="950" t="s">
        <v>1983</v>
      </c>
      <c r="Q24" s="950" t="s">
        <v>1984</v>
      </c>
      <c r="R24" s="950" t="s">
        <v>1985</v>
      </c>
      <c r="S24" s="1521"/>
      <c r="T24" s="1521"/>
      <c r="U24" s="1521"/>
    </row>
    <row r="25" spans="1:21" ht="16.5" outlineLevel="1">
      <c r="A25" s="1518" t="s">
        <v>1992</v>
      </c>
      <c r="B25" s="875" t="s">
        <v>1920</v>
      </c>
      <c r="C25" s="835" t="s">
        <v>1921</v>
      </c>
      <c r="D25" s="870">
        <f>E25*G25+F25*H25</f>
        <v>68.664550203677209</v>
      </c>
      <c r="E25" s="870">
        <f>'OR02-销售承保'!R38</f>
        <v>50.421819830909271</v>
      </c>
      <c r="F25" s="870">
        <f>AVERAGE(I25:R25)</f>
        <v>76.482863220577769</v>
      </c>
      <c r="G25" s="872">
        <v>0.3</v>
      </c>
      <c r="H25" s="872">
        <v>0.7</v>
      </c>
      <c r="I25" s="871">
        <f>'OR04-分公司销售、承保、保全'!W76</f>
        <v>77.63636363636364</v>
      </c>
      <c r="J25" s="871">
        <f>'OR04-分公司销售、承保、保全'!AC76</f>
        <v>73.871681415929203</v>
      </c>
      <c r="K25" s="871">
        <f>'OR04-分公司销售、承保、保全'!AI76</f>
        <v>76.201986754966896</v>
      </c>
      <c r="L25" s="871">
        <f>'OR04-分公司销售、承保、保全'!AO76</f>
        <v>74.009090909090901</v>
      </c>
      <c r="M25" s="871">
        <f>'OR04-分公司销售、承保、保全'!AU76</f>
        <v>74.92307692307692</v>
      </c>
      <c r="N25" s="871">
        <f>'OR04-分公司销售、承保、保全'!BA76</f>
        <v>71.353932584269671</v>
      </c>
      <c r="O25" s="871">
        <f>'OR04-分公司销售、承保、保全'!BG76</f>
        <v>82.924778761061944</v>
      </c>
      <c r="P25" s="871">
        <f>'OR04-分公司销售、承保、保全'!BM76</f>
        <v>76.026785714285722</v>
      </c>
      <c r="Q25" s="871">
        <f>'OR04-分公司销售、承保、保全'!BS76</f>
        <v>81.439759036144579</v>
      </c>
      <c r="R25" s="871">
        <f>'OR04-分公司销售、承保、保全'!BY76</f>
        <v>76.441176470588232</v>
      </c>
      <c r="S25" s="873" t="s">
        <v>1922</v>
      </c>
      <c r="T25" s="873" t="s">
        <v>1923</v>
      </c>
      <c r="U25" s="873" t="s">
        <v>1924</v>
      </c>
    </row>
    <row r="26" spans="1:21" ht="16.5" outlineLevel="1">
      <c r="A26" s="1518"/>
      <c r="B26" s="876" t="s">
        <v>1925</v>
      </c>
      <c r="C26" s="834" t="s">
        <v>1921</v>
      </c>
      <c r="D26" s="823">
        <f>E26*G26+F26*H26</f>
        <v>68.09</v>
      </c>
      <c r="E26" s="823">
        <f>'OR06-理赔保全'!M22</f>
        <v>37.5</v>
      </c>
      <c r="F26" s="823">
        <f>AVERAGE(I26:R26)</f>
        <v>81.2</v>
      </c>
      <c r="G26" s="825">
        <v>0.3</v>
      </c>
      <c r="H26" s="825">
        <v>0.7</v>
      </c>
      <c r="I26" s="824">
        <f>'OR08-分公司理赔'!W41</f>
        <v>82</v>
      </c>
      <c r="J26" s="824">
        <f>'OR08-分公司理赔'!AC41</f>
        <v>82</v>
      </c>
      <c r="K26" s="824">
        <f>'OR08-分公司理赔'!AI41</f>
        <v>82</v>
      </c>
      <c r="L26" s="824">
        <f>'OR08-分公司理赔'!AO41</f>
        <v>82</v>
      </c>
      <c r="M26" s="824">
        <f>'OR08-分公司理赔'!AU41</f>
        <v>82</v>
      </c>
      <c r="N26" s="824">
        <f>'OR08-分公司理赔'!BA41</f>
        <v>82</v>
      </c>
      <c r="O26" s="824">
        <f>'OR08-分公司理赔'!BG41</f>
        <v>77</v>
      </c>
      <c r="P26" s="824">
        <f>'OR08-分公司理赔'!BM41</f>
        <v>82</v>
      </c>
      <c r="Q26" s="824">
        <f>'OR08-分公司理赔'!BS41</f>
        <v>79</v>
      </c>
      <c r="R26" s="824">
        <f>'OR08-分公司理赔'!BY41</f>
        <v>82</v>
      </c>
      <c r="S26" s="826" t="s">
        <v>1922</v>
      </c>
      <c r="T26" s="826" t="s">
        <v>1923</v>
      </c>
      <c r="U26" s="826" t="s">
        <v>1924</v>
      </c>
    </row>
    <row r="27" spans="1:21" ht="16.5" outlineLevel="1">
      <c r="A27" s="1518"/>
      <c r="B27" s="876" t="s">
        <v>1926</v>
      </c>
      <c r="C27" s="834" t="s">
        <v>1921</v>
      </c>
      <c r="D27" s="823">
        <f>E27*G27+F27*H27</f>
        <v>74.66</v>
      </c>
      <c r="E27" s="823">
        <f>'OR12-财务管理'!P42</f>
        <v>69</v>
      </c>
      <c r="F27" s="823">
        <f>AVERAGE(I27:R27)</f>
        <v>83.15</v>
      </c>
      <c r="G27" s="825">
        <v>0.6</v>
      </c>
      <c r="H27" s="825">
        <v>0.4</v>
      </c>
      <c r="I27" s="824">
        <f>'OR13-分公司财务管理'!W57</f>
        <v>85</v>
      </c>
      <c r="J27" s="824">
        <f>'OR13-分公司财务管理'!AC57</f>
        <v>75.5</v>
      </c>
      <c r="K27" s="824">
        <f>'OR13-分公司财务管理'!AI57</f>
        <v>88</v>
      </c>
      <c r="L27" s="824">
        <f>'OR13-分公司财务管理'!AO57</f>
        <v>88</v>
      </c>
      <c r="M27" s="824">
        <f>'OR13-分公司财务管理'!AU57</f>
        <v>89</v>
      </c>
      <c r="N27" s="824">
        <f>'OR13-分公司财务管理'!BA57</f>
        <v>79.5</v>
      </c>
      <c r="O27" s="824">
        <f>'OR13-分公司财务管理'!BG57</f>
        <v>88</v>
      </c>
      <c r="P27" s="824">
        <f>'OR13-分公司财务管理'!BM57</f>
        <v>79.5</v>
      </c>
      <c r="Q27" s="824">
        <f>'OR13-分公司财务管理'!BS57</f>
        <v>79.5</v>
      </c>
      <c r="R27" s="824">
        <f>'OR13-分公司财务管理'!BY57</f>
        <v>79.5</v>
      </c>
      <c r="S27" s="826" t="s">
        <v>1922</v>
      </c>
      <c r="T27" s="826" t="s">
        <v>1923</v>
      </c>
      <c r="U27" s="826" t="s">
        <v>1924</v>
      </c>
    </row>
    <row r="28" spans="1:21" ht="16.5" outlineLevel="1">
      <c r="A28" s="1518"/>
      <c r="B28" s="876" t="s">
        <v>1927</v>
      </c>
      <c r="C28" s="834" t="s">
        <v>1921</v>
      </c>
      <c r="D28" s="823">
        <f t="shared" ref="D28:D33" si="8">E28</f>
        <v>80</v>
      </c>
      <c r="E28" s="823">
        <f>'OR10-资金运用'!M63</f>
        <v>80</v>
      </c>
      <c r="F28" s="827"/>
      <c r="G28" s="825">
        <v>1</v>
      </c>
      <c r="H28" s="828" t="s">
        <v>1928</v>
      </c>
      <c r="I28" s="828"/>
      <c r="J28" s="828"/>
      <c r="K28" s="828"/>
      <c r="L28" s="828"/>
      <c r="M28" s="828"/>
      <c r="N28" s="828"/>
      <c r="O28" s="828"/>
      <c r="P28" s="828"/>
      <c r="Q28" s="828"/>
      <c r="R28" s="828"/>
      <c r="S28" s="826" t="s">
        <v>1922</v>
      </c>
      <c r="T28" s="826" t="s">
        <v>1923</v>
      </c>
      <c r="U28" s="826" t="s">
        <v>1924</v>
      </c>
    </row>
    <row r="29" spans="1:21" ht="16.5" outlineLevel="1">
      <c r="A29" s="1518"/>
      <c r="B29" s="876" t="s">
        <v>1929</v>
      </c>
      <c r="C29" s="834" t="s">
        <v>1921</v>
      </c>
      <c r="D29" s="823" t="str">
        <f t="shared" si="8"/>
        <v>无扣分</v>
      </c>
      <c r="E29" s="823" t="s">
        <v>1930</v>
      </c>
      <c r="F29" s="827"/>
      <c r="G29" s="825">
        <v>1</v>
      </c>
      <c r="H29" s="828" t="s">
        <v>1928</v>
      </c>
      <c r="I29" s="828"/>
      <c r="J29" s="828"/>
      <c r="K29" s="828"/>
      <c r="L29" s="828"/>
      <c r="M29" s="828"/>
      <c r="N29" s="828"/>
      <c r="O29" s="828"/>
      <c r="P29" s="828"/>
      <c r="Q29" s="828"/>
      <c r="R29" s="828"/>
      <c r="S29" s="826" t="s">
        <v>1922</v>
      </c>
      <c r="T29" s="826" t="s">
        <v>1923</v>
      </c>
      <c r="U29" s="826" t="s">
        <v>1924</v>
      </c>
    </row>
    <row r="30" spans="1:21" ht="16.5" outlineLevel="1">
      <c r="A30" s="1518"/>
      <c r="B30" s="876" t="s">
        <v>1931</v>
      </c>
      <c r="C30" s="834" t="s">
        <v>1921</v>
      </c>
      <c r="D30" s="823">
        <f>E30</f>
        <v>88</v>
      </c>
      <c r="E30" s="823">
        <f>公司治理!H81</f>
        <v>88</v>
      </c>
      <c r="F30" s="827"/>
      <c r="G30" s="825">
        <v>1</v>
      </c>
      <c r="H30" s="828" t="s">
        <v>1928</v>
      </c>
      <c r="I30" s="828"/>
      <c r="J30" s="828"/>
      <c r="K30" s="828"/>
      <c r="L30" s="828"/>
      <c r="M30" s="828"/>
      <c r="N30" s="828"/>
      <c r="O30" s="828"/>
      <c r="P30" s="828"/>
      <c r="Q30" s="828"/>
      <c r="R30" s="828"/>
      <c r="S30" s="826" t="s">
        <v>1922</v>
      </c>
      <c r="T30" s="826" t="s">
        <v>1923</v>
      </c>
      <c r="U30" s="826" t="s">
        <v>1924</v>
      </c>
    </row>
    <row r="31" spans="1:21" ht="16.5" outlineLevel="1">
      <c r="A31" s="1518"/>
      <c r="B31" s="876" t="s">
        <v>1932</v>
      </c>
      <c r="C31" s="834" t="s">
        <v>1921</v>
      </c>
      <c r="D31" s="823">
        <f t="shared" si="8"/>
        <v>70</v>
      </c>
      <c r="E31" s="823">
        <f>'OR15-准备金再保险'!M19</f>
        <v>70</v>
      </c>
      <c r="F31" s="827"/>
      <c r="G31" s="825">
        <v>1</v>
      </c>
      <c r="H31" s="828" t="s">
        <v>1928</v>
      </c>
      <c r="I31" s="828"/>
      <c r="J31" s="828"/>
      <c r="K31" s="828"/>
      <c r="L31" s="828"/>
      <c r="M31" s="828"/>
      <c r="N31" s="828"/>
      <c r="O31" s="828"/>
      <c r="P31" s="828"/>
      <c r="Q31" s="828"/>
      <c r="R31" s="828"/>
      <c r="S31" s="877" t="s">
        <v>1933</v>
      </c>
      <c r="T31" s="826" t="s">
        <v>1922</v>
      </c>
      <c r="U31" s="826" t="s">
        <v>1923</v>
      </c>
    </row>
    <row r="32" spans="1:21" ht="16.5" outlineLevel="1">
      <c r="A32" s="1518"/>
      <c r="B32" s="876" t="s">
        <v>1934</v>
      </c>
      <c r="C32" s="834" t="s">
        <v>1921</v>
      </c>
      <c r="D32" s="823">
        <f t="shared" si="8"/>
        <v>89.429999999999993</v>
      </c>
      <c r="E32" s="823">
        <f>信息系统!K137</f>
        <v>89.429999999999993</v>
      </c>
      <c r="F32" s="827"/>
      <c r="G32" s="825">
        <v>1</v>
      </c>
      <c r="H32" s="828" t="s">
        <v>1928</v>
      </c>
      <c r="I32" s="828"/>
      <c r="J32" s="828"/>
      <c r="K32" s="828"/>
      <c r="L32" s="828"/>
      <c r="M32" s="828"/>
      <c r="N32" s="828"/>
      <c r="O32" s="828"/>
      <c r="P32" s="828"/>
      <c r="Q32" s="828"/>
      <c r="R32" s="828"/>
      <c r="S32" s="826" t="s">
        <v>1922</v>
      </c>
      <c r="T32" s="826" t="s">
        <v>1923</v>
      </c>
      <c r="U32" s="826" t="s">
        <v>1924</v>
      </c>
    </row>
    <row r="33" spans="1:21" ht="16.5" outlineLevel="1">
      <c r="A33" s="1518"/>
      <c r="B33" s="876" t="s">
        <v>1935</v>
      </c>
      <c r="C33" s="834" t="s">
        <v>1921</v>
      </c>
      <c r="D33" s="823">
        <f t="shared" si="8"/>
        <v>76.5</v>
      </c>
      <c r="E33" s="823">
        <f>案件管理!J21</f>
        <v>76.5</v>
      </c>
      <c r="F33" s="827"/>
      <c r="G33" s="825">
        <v>1</v>
      </c>
      <c r="H33" s="828" t="s">
        <v>1928</v>
      </c>
      <c r="I33" s="828"/>
      <c r="J33" s="828"/>
      <c r="K33" s="828"/>
      <c r="L33" s="828"/>
      <c r="M33" s="828"/>
      <c r="N33" s="828"/>
      <c r="O33" s="828"/>
      <c r="P33" s="828"/>
      <c r="Q33" s="828"/>
      <c r="R33" s="828"/>
      <c r="S33" s="826" t="s">
        <v>1922</v>
      </c>
      <c r="T33" s="826" t="s">
        <v>1923</v>
      </c>
      <c r="U33" s="826" t="s">
        <v>1924</v>
      </c>
    </row>
    <row r="34" spans="1:21" ht="16.5" outlineLevel="1">
      <c r="A34" s="1519"/>
      <c r="B34" s="878" t="s">
        <v>1936</v>
      </c>
      <c r="C34" s="834" t="s">
        <v>1937</v>
      </c>
      <c r="D34" s="823">
        <f>(SUM(D25:D33)+D31)/9</f>
        <v>76.14939446707524</v>
      </c>
      <c r="E34" s="827"/>
      <c r="F34" s="827"/>
      <c r="G34" s="825">
        <v>1</v>
      </c>
      <c r="H34" s="828" t="s">
        <v>1928</v>
      </c>
      <c r="I34" s="828"/>
      <c r="J34" s="828"/>
      <c r="K34" s="828"/>
      <c r="L34" s="828"/>
      <c r="M34" s="828"/>
      <c r="N34" s="828"/>
      <c r="O34" s="828"/>
      <c r="P34" s="828"/>
      <c r="Q34" s="828"/>
      <c r="R34" s="828"/>
      <c r="S34" s="826" t="s">
        <v>1938</v>
      </c>
      <c r="T34" s="825">
        <v>0.5</v>
      </c>
      <c r="U34" s="825">
        <v>0.25</v>
      </c>
    </row>
    <row r="35" spans="1:21" ht="16.5" outlineLevel="1">
      <c r="A35" s="1513" t="s">
        <v>1987</v>
      </c>
      <c r="B35" s="1514"/>
      <c r="C35" s="834" t="s">
        <v>1937</v>
      </c>
      <c r="D35" s="823">
        <f>战略风险!G32</f>
        <v>92</v>
      </c>
      <c r="E35" s="827"/>
      <c r="F35" s="827"/>
      <c r="G35" s="825">
        <v>1</v>
      </c>
      <c r="H35" s="828" t="s">
        <v>1928</v>
      </c>
      <c r="I35" s="828"/>
      <c r="J35" s="828"/>
      <c r="K35" s="828"/>
      <c r="L35" s="828"/>
      <c r="M35" s="828"/>
      <c r="N35" s="828"/>
      <c r="O35" s="828"/>
      <c r="P35" s="828"/>
      <c r="Q35" s="828"/>
      <c r="R35" s="828"/>
      <c r="S35" s="825" t="s">
        <v>1928</v>
      </c>
      <c r="T35" s="825">
        <v>0.15</v>
      </c>
      <c r="U35" s="829">
        <v>7.4999999999999997E-2</v>
      </c>
    </row>
    <row r="36" spans="1:21" ht="16.5" outlineLevel="1">
      <c r="A36" s="1513" t="s">
        <v>1988</v>
      </c>
      <c r="B36" s="1514"/>
      <c r="C36" s="834" t="s">
        <v>1937</v>
      </c>
      <c r="D36" s="823">
        <f>'RR01-声誉风险'!L20</f>
        <v>90</v>
      </c>
      <c r="E36" s="827"/>
      <c r="F36" s="827"/>
      <c r="G36" s="825">
        <v>1</v>
      </c>
      <c r="H36" s="825" t="s">
        <v>1928</v>
      </c>
      <c r="I36" s="825"/>
      <c r="J36" s="825"/>
      <c r="K36" s="825"/>
      <c r="L36" s="825"/>
      <c r="M36" s="825"/>
      <c r="N36" s="825"/>
      <c r="O36" s="825"/>
      <c r="P36" s="825"/>
      <c r="Q36" s="825"/>
      <c r="R36" s="825"/>
      <c r="S36" s="825" t="s">
        <v>1928</v>
      </c>
      <c r="T36" s="825">
        <v>0.1</v>
      </c>
      <c r="U36" s="825">
        <v>0.05</v>
      </c>
    </row>
    <row r="37" spans="1:21" ht="16.5" outlineLevel="1">
      <c r="A37" s="1513" t="s">
        <v>1989</v>
      </c>
      <c r="B37" s="1514"/>
      <c r="C37" s="779" t="s">
        <v>1937</v>
      </c>
      <c r="D37" s="823">
        <f>流动性风险!G33</f>
        <v>88.888888888888886</v>
      </c>
      <c r="E37" s="827"/>
      <c r="F37" s="827"/>
      <c r="G37" s="825">
        <v>1</v>
      </c>
      <c r="H37" s="828" t="s">
        <v>1928</v>
      </c>
      <c r="I37" s="828"/>
      <c r="J37" s="828"/>
      <c r="K37" s="828"/>
      <c r="L37" s="828"/>
      <c r="M37" s="828"/>
      <c r="N37" s="828"/>
      <c r="O37" s="828"/>
      <c r="P37" s="828"/>
      <c r="Q37" s="828"/>
      <c r="R37" s="828"/>
      <c r="S37" s="825" t="s">
        <v>1928</v>
      </c>
      <c r="T37" s="825">
        <v>0.25</v>
      </c>
      <c r="U37" s="829">
        <v>0.125</v>
      </c>
    </row>
    <row r="38" spans="1:21" ht="16.5" outlineLevel="1">
      <c r="A38" s="1511" t="s">
        <v>1990</v>
      </c>
      <c r="B38" s="1511"/>
      <c r="C38" s="834" t="s">
        <v>1942</v>
      </c>
      <c r="D38" s="823">
        <f>D34*T34+D35*T35+D36*T36+D37*T37</f>
        <v>83.096919455759831</v>
      </c>
      <c r="E38" s="827"/>
      <c r="F38" s="827"/>
      <c r="G38" s="825">
        <v>1</v>
      </c>
      <c r="H38" s="828" t="s">
        <v>1928</v>
      </c>
      <c r="I38" s="828"/>
      <c r="J38" s="828"/>
      <c r="K38" s="828"/>
      <c r="L38" s="828"/>
      <c r="M38" s="828"/>
      <c r="N38" s="828"/>
      <c r="O38" s="828"/>
      <c r="P38" s="828"/>
      <c r="Q38" s="828"/>
      <c r="R38" s="828"/>
      <c r="S38" s="825" t="s">
        <v>1928</v>
      </c>
      <c r="T38" s="825">
        <v>1</v>
      </c>
      <c r="U38" s="825">
        <v>0.5</v>
      </c>
    </row>
    <row r="39" spans="1:21" ht="16.5" outlineLevel="1">
      <c r="A39" s="1515" t="s">
        <v>1991</v>
      </c>
      <c r="B39" s="1515"/>
      <c r="C39" s="834" t="s">
        <v>1942</v>
      </c>
      <c r="D39" s="823">
        <v>100</v>
      </c>
      <c r="E39" s="827"/>
      <c r="F39" s="827"/>
      <c r="G39" s="825">
        <v>1</v>
      </c>
      <c r="H39" s="828" t="s">
        <v>1928</v>
      </c>
      <c r="I39" s="828"/>
      <c r="J39" s="828"/>
      <c r="K39" s="828"/>
      <c r="L39" s="828"/>
      <c r="M39" s="828"/>
      <c r="N39" s="828"/>
      <c r="O39" s="828"/>
      <c r="P39" s="828"/>
      <c r="Q39" s="828"/>
      <c r="R39" s="828"/>
      <c r="S39" s="825" t="s">
        <v>1928</v>
      </c>
      <c r="T39" s="828" t="s">
        <v>1928</v>
      </c>
      <c r="U39" s="825">
        <v>0.5</v>
      </c>
    </row>
    <row r="40" spans="1:21" ht="16.5" outlineLevel="1">
      <c r="A40" s="1511" t="s">
        <v>1986</v>
      </c>
      <c r="B40" s="1511"/>
      <c r="C40" s="834" t="s">
        <v>1945</v>
      </c>
      <c r="D40" s="823">
        <f>D38*U38+D39*U39</f>
        <v>91.548459727879916</v>
      </c>
      <c r="E40" s="827"/>
      <c r="F40" s="827"/>
      <c r="G40" s="828" t="s">
        <v>1928</v>
      </c>
      <c r="H40" s="828" t="s">
        <v>1928</v>
      </c>
      <c r="I40" s="828"/>
      <c r="J40" s="828"/>
      <c r="K40" s="828"/>
      <c r="L40" s="828"/>
      <c r="M40" s="828"/>
      <c r="N40" s="828"/>
      <c r="O40" s="828"/>
      <c r="P40" s="828"/>
      <c r="Q40" s="828"/>
      <c r="R40" s="828"/>
      <c r="S40" s="825" t="s">
        <v>1928</v>
      </c>
      <c r="T40" s="828" t="s">
        <v>1928</v>
      </c>
      <c r="U40" s="825">
        <v>1</v>
      </c>
    </row>
    <row r="42" spans="1:21">
      <c r="A42" s="1517" t="s">
        <v>1994</v>
      </c>
      <c r="B42" s="1517"/>
      <c r="D42" s="972">
        <f>D60</f>
        <v>91.209570838991027</v>
      </c>
    </row>
    <row r="43" spans="1:21" ht="16.149999999999999" customHeight="1" outlineLevel="1">
      <c r="A43" s="1522" t="s">
        <v>1965</v>
      </c>
      <c r="B43" s="1522"/>
      <c r="C43" s="1520" t="s">
        <v>1966</v>
      </c>
      <c r="D43" s="1521" t="s">
        <v>1967</v>
      </c>
      <c r="E43" s="1520" t="s">
        <v>1968</v>
      </c>
      <c r="F43" s="1520" t="s">
        <v>1969</v>
      </c>
      <c r="G43" s="1516" t="s">
        <v>1970</v>
      </c>
      <c r="H43" s="1516"/>
      <c r="I43" s="874"/>
      <c r="J43" s="874"/>
      <c r="K43" s="874"/>
      <c r="L43" s="874"/>
      <c r="M43" s="874"/>
      <c r="N43" s="874"/>
      <c r="O43" s="874"/>
      <c r="P43" s="874"/>
      <c r="Q43" s="874"/>
      <c r="R43" s="874"/>
      <c r="S43" s="1516" t="s">
        <v>1971</v>
      </c>
      <c r="T43" s="1516" t="s">
        <v>1972</v>
      </c>
      <c r="U43" s="1516" t="s">
        <v>1973</v>
      </c>
    </row>
    <row r="44" spans="1:21" ht="15" customHeight="1" outlineLevel="1">
      <c r="A44" s="1523"/>
      <c r="B44" s="1523"/>
      <c r="C44" s="1520"/>
      <c r="D44" s="1516"/>
      <c r="E44" s="1520"/>
      <c r="F44" s="1520"/>
      <c r="G44" s="874" t="s">
        <v>1974</v>
      </c>
      <c r="H44" s="874" t="s">
        <v>1975</v>
      </c>
      <c r="I44" s="874" t="s">
        <v>1976</v>
      </c>
      <c r="J44" s="874" t="s">
        <v>1977</v>
      </c>
      <c r="K44" s="874" t="s">
        <v>1978</v>
      </c>
      <c r="L44" s="874" t="s">
        <v>1979</v>
      </c>
      <c r="M44" s="874" t="s">
        <v>1980</v>
      </c>
      <c r="N44" s="874" t="s">
        <v>1981</v>
      </c>
      <c r="O44" s="874" t="s">
        <v>1982</v>
      </c>
      <c r="P44" s="874" t="s">
        <v>1983</v>
      </c>
      <c r="Q44" s="874" t="s">
        <v>1984</v>
      </c>
      <c r="R44" s="874" t="s">
        <v>1985</v>
      </c>
      <c r="S44" s="1516"/>
      <c r="T44" s="1516"/>
      <c r="U44" s="1516"/>
    </row>
    <row r="45" spans="1:21" ht="16.5" outlineLevel="1">
      <c r="A45" s="1518" t="s">
        <v>1992</v>
      </c>
      <c r="B45" s="875" t="s">
        <v>1920</v>
      </c>
      <c r="C45" s="835" t="s">
        <v>1921</v>
      </c>
      <c r="D45" s="870">
        <f>E45*G45+F45*H45</f>
        <v>65.46455020367722</v>
      </c>
      <c r="E45" s="870">
        <f>'OR02-销售承保'!R39</f>
        <v>44.421819830909271</v>
      </c>
      <c r="F45" s="870">
        <f>AVERAGE(I45:R45)</f>
        <v>74.482863220577769</v>
      </c>
      <c r="G45" s="872">
        <v>0.3</v>
      </c>
      <c r="H45" s="872">
        <v>0.7</v>
      </c>
      <c r="I45" s="871">
        <f>'OR04-分公司销售、承保、保全'!W80</f>
        <v>77.63636363636364</v>
      </c>
      <c r="J45" s="871">
        <f>'OR04-分公司销售、承保、保全'!AC80</f>
        <v>73.871681415929203</v>
      </c>
      <c r="K45" s="871">
        <f>'OR04-分公司销售、承保、保全'!AI80</f>
        <v>76.201986754966896</v>
      </c>
      <c r="L45" s="871">
        <f>'OR04-分公司销售、承保、保全'!AO80</f>
        <v>74.009090909090901</v>
      </c>
      <c r="M45" s="871">
        <f>'OR04-分公司销售、承保、保全'!AU80</f>
        <v>74.92307692307692</v>
      </c>
      <c r="N45" s="871">
        <f>'OR04-分公司销售、承保、保全'!BA80</f>
        <v>71.353932584269671</v>
      </c>
      <c r="O45" s="871">
        <f>'OR04-分公司销售、承保、保全'!BG80</f>
        <v>72.924778761061944</v>
      </c>
      <c r="P45" s="871">
        <f>'OR04-分公司销售、承保、保全'!BM80</f>
        <v>76.026785714285722</v>
      </c>
      <c r="Q45" s="871">
        <f>'OR04-分公司销售、承保、保全'!BS80</f>
        <v>71.439759036144579</v>
      </c>
      <c r="R45" s="871">
        <f>'OR04-分公司销售、承保、保全'!BY80</f>
        <v>76.441176470588232</v>
      </c>
      <c r="S45" s="873" t="s">
        <v>1922</v>
      </c>
      <c r="T45" s="873" t="s">
        <v>1923</v>
      </c>
      <c r="U45" s="873" t="s">
        <v>1924</v>
      </c>
    </row>
    <row r="46" spans="1:21" ht="16.5" outlineLevel="1">
      <c r="A46" s="1518"/>
      <c r="B46" s="876" t="s">
        <v>1925</v>
      </c>
      <c r="C46" s="834" t="s">
        <v>1921</v>
      </c>
      <c r="D46" s="823">
        <f>E46*G46+F46*H46</f>
        <v>61.089999999999996</v>
      </c>
      <c r="E46" s="823">
        <f>'OR06-理赔保全'!M23</f>
        <v>37.5</v>
      </c>
      <c r="F46" s="823">
        <f>AVERAGE(I46:R46)</f>
        <v>71.2</v>
      </c>
      <c r="G46" s="825">
        <v>0.3</v>
      </c>
      <c r="H46" s="825">
        <v>0.7</v>
      </c>
      <c r="I46" s="824">
        <f>'OR08-分公司理赔'!W45</f>
        <v>72</v>
      </c>
      <c r="J46" s="824">
        <f>'OR08-分公司理赔'!AC45</f>
        <v>72</v>
      </c>
      <c r="K46" s="824">
        <f>'OR08-分公司理赔'!AI45</f>
        <v>72</v>
      </c>
      <c r="L46" s="824">
        <f>'OR08-分公司理赔'!AO45</f>
        <v>72</v>
      </c>
      <c r="M46" s="824">
        <f>'OR08-分公司理赔'!AU45</f>
        <v>72</v>
      </c>
      <c r="N46" s="824">
        <f>'OR08-分公司理赔'!BA45</f>
        <v>72</v>
      </c>
      <c r="O46" s="824">
        <f>'OR08-分公司理赔'!BG45</f>
        <v>67</v>
      </c>
      <c r="P46" s="824">
        <f>'OR08-分公司理赔'!BM45</f>
        <v>72</v>
      </c>
      <c r="Q46" s="824">
        <f>'OR08-分公司理赔'!BS45</f>
        <v>69</v>
      </c>
      <c r="R46" s="824">
        <f>'OR08-分公司理赔'!BY45</f>
        <v>72</v>
      </c>
      <c r="S46" s="826" t="s">
        <v>1922</v>
      </c>
      <c r="T46" s="826" t="s">
        <v>1923</v>
      </c>
      <c r="U46" s="826" t="s">
        <v>1924</v>
      </c>
    </row>
    <row r="47" spans="1:21" ht="16.5" outlineLevel="1">
      <c r="A47" s="1518"/>
      <c r="B47" s="876" t="s">
        <v>1926</v>
      </c>
      <c r="C47" s="834" t="s">
        <v>1921</v>
      </c>
      <c r="D47" s="823">
        <f>E47*G47+F47*H47</f>
        <v>72.66</v>
      </c>
      <c r="E47" s="823">
        <f>'OR12-财务管理'!P43</f>
        <v>69</v>
      </c>
      <c r="F47" s="823">
        <f>AVERAGE(I47:R47)</f>
        <v>78.150000000000006</v>
      </c>
      <c r="G47" s="825">
        <v>0.6</v>
      </c>
      <c r="H47" s="825">
        <v>0.4</v>
      </c>
      <c r="I47" s="824">
        <f>'OR13-分公司财务管理'!W61</f>
        <v>75</v>
      </c>
      <c r="J47" s="824">
        <f>'OR13-分公司财务管理'!AC61</f>
        <v>75.5</v>
      </c>
      <c r="K47" s="824">
        <f>'OR13-分公司财务管理'!AI61</f>
        <v>78</v>
      </c>
      <c r="L47" s="824">
        <f>'OR13-分公司财务管理'!AO61</f>
        <v>78</v>
      </c>
      <c r="M47" s="824">
        <f>'OR13-分公司财务管理'!AU61</f>
        <v>79</v>
      </c>
      <c r="N47" s="824">
        <f>'OR13-分公司财务管理'!BA61</f>
        <v>79.5</v>
      </c>
      <c r="O47" s="824">
        <f>'OR13-分公司财务管理'!BG61</f>
        <v>78</v>
      </c>
      <c r="P47" s="824">
        <f>'OR13-分公司财务管理'!BM61</f>
        <v>79.5</v>
      </c>
      <c r="Q47" s="824">
        <f>'OR13-分公司财务管理'!BS61</f>
        <v>79.5</v>
      </c>
      <c r="R47" s="824">
        <f>'OR13-分公司财务管理'!BY61</f>
        <v>79.5</v>
      </c>
      <c r="S47" s="826" t="s">
        <v>1922</v>
      </c>
      <c r="T47" s="826" t="s">
        <v>1923</v>
      </c>
      <c r="U47" s="826" t="s">
        <v>1924</v>
      </c>
    </row>
    <row r="48" spans="1:21" ht="16.5" outlineLevel="1">
      <c r="A48" s="1518"/>
      <c r="B48" s="876" t="s">
        <v>1927</v>
      </c>
      <c r="C48" s="834" t="s">
        <v>1921</v>
      </c>
      <c r="D48" s="823">
        <f t="shared" ref="D48:D53" si="9">E48</f>
        <v>80</v>
      </c>
      <c r="E48" s="823">
        <f>'OR10-资金运用'!M64</f>
        <v>80</v>
      </c>
      <c r="F48" s="827"/>
      <c r="G48" s="825">
        <v>1</v>
      </c>
      <c r="H48" s="828" t="s">
        <v>1928</v>
      </c>
      <c r="I48" s="828"/>
      <c r="J48" s="828"/>
      <c r="K48" s="828"/>
      <c r="L48" s="828"/>
      <c r="M48" s="828"/>
      <c r="N48" s="828"/>
      <c r="O48" s="828"/>
      <c r="P48" s="828"/>
      <c r="Q48" s="828"/>
      <c r="R48" s="828"/>
      <c r="S48" s="826" t="s">
        <v>1922</v>
      </c>
      <c r="T48" s="826" t="s">
        <v>1923</v>
      </c>
      <c r="U48" s="826" t="s">
        <v>1924</v>
      </c>
    </row>
    <row r="49" spans="1:21" ht="16.5" outlineLevel="1">
      <c r="A49" s="1518"/>
      <c r="B49" s="876" t="s">
        <v>1929</v>
      </c>
      <c r="C49" s="834" t="s">
        <v>1921</v>
      </c>
      <c r="D49" s="823" t="str">
        <f t="shared" si="9"/>
        <v>无扣分</v>
      </c>
      <c r="E49" s="823" t="s">
        <v>1930</v>
      </c>
      <c r="F49" s="827"/>
      <c r="G49" s="825">
        <v>1</v>
      </c>
      <c r="H49" s="828" t="s">
        <v>1928</v>
      </c>
      <c r="I49" s="828"/>
      <c r="J49" s="828"/>
      <c r="K49" s="828"/>
      <c r="L49" s="828"/>
      <c r="M49" s="828"/>
      <c r="N49" s="828"/>
      <c r="O49" s="828"/>
      <c r="P49" s="828"/>
      <c r="Q49" s="828"/>
      <c r="R49" s="828"/>
      <c r="S49" s="826" t="s">
        <v>1922</v>
      </c>
      <c r="T49" s="826" t="s">
        <v>1923</v>
      </c>
      <c r="U49" s="826" t="s">
        <v>1924</v>
      </c>
    </row>
    <row r="50" spans="1:21" ht="16.5" outlineLevel="1">
      <c r="A50" s="1518"/>
      <c r="B50" s="876" t="s">
        <v>1931</v>
      </c>
      <c r="C50" s="834" t="s">
        <v>1921</v>
      </c>
      <c r="D50" s="823">
        <f>E50</f>
        <v>88</v>
      </c>
      <c r="E50" s="823">
        <f>公司治理!H81</f>
        <v>88</v>
      </c>
      <c r="F50" s="827"/>
      <c r="G50" s="825">
        <v>1</v>
      </c>
      <c r="H50" s="828" t="s">
        <v>1928</v>
      </c>
      <c r="I50" s="828"/>
      <c r="J50" s="828"/>
      <c r="K50" s="828"/>
      <c r="L50" s="828"/>
      <c r="M50" s="828"/>
      <c r="N50" s="828"/>
      <c r="O50" s="828"/>
      <c r="P50" s="828"/>
      <c r="Q50" s="828"/>
      <c r="R50" s="828"/>
      <c r="S50" s="826" t="s">
        <v>1922</v>
      </c>
      <c r="T50" s="826" t="s">
        <v>1923</v>
      </c>
      <c r="U50" s="826" t="s">
        <v>1924</v>
      </c>
    </row>
    <row r="51" spans="1:21" ht="16.5" outlineLevel="1">
      <c r="A51" s="1518"/>
      <c r="B51" s="876" t="s">
        <v>1932</v>
      </c>
      <c r="C51" s="834" t="s">
        <v>1921</v>
      </c>
      <c r="D51" s="823">
        <f t="shared" si="9"/>
        <v>70</v>
      </c>
      <c r="E51" s="823">
        <f>'OR15-准备金再保险'!M20</f>
        <v>70</v>
      </c>
      <c r="F51" s="827"/>
      <c r="G51" s="825">
        <v>1</v>
      </c>
      <c r="H51" s="828" t="s">
        <v>1928</v>
      </c>
      <c r="I51" s="828"/>
      <c r="J51" s="828"/>
      <c r="K51" s="828"/>
      <c r="L51" s="828"/>
      <c r="M51" s="828"/>
      <c r="N51" s="828"/>
      <c r="O51" s="828"/>
      <c r="P51" s="828"/>
      <c r="Q51" s="828"/>
      <c r="R51" s="828"/>
      <c r="S51" s="877" t="s">
        <v>1933</v>
      </c>
      <c r="T51" s="826" t="s">
        <v>1922</v>
      </c>
      <c r="U51" s="826" t="s">
        <v>1923</v>
      </c>
    </row>
    <row r="52" spans="1:21" ht="16.5" outlineLevel="1">
      <c r="A52" s="1518"/>
      <c r="B52" s="876" t="s">
        <v>1934</v>
      </c>
      <c r="C52" s="834" t="s">
        <v>1921</v>
      </c>
      <c r="D52" s="823">
        <f t="shared" si="9"/>
        <v>89.429999999999993</v>
      </c>
      <c r="E52" s="823">
        <f>信息系统!K137</f>
        <v>89.429999999999993</v>
      </c>
      <c r="F52" s="827"/>
      <c r="G52" s="825">
        <v>1</v>
      </c>
      <c r="H52" s="828" t="s">
        <v>1928</v>
      </c>
      <c r="I52" s="828"/>
      <c r="J52" s="828"/>
      <c r="K52" s="828"/>
      <c r="L52" s="828"/>
      <c r="M52" s="828"/>
      <c r="N52" s="828"/>
      <c r="O52" s="828"/>
      <c r="P52" s="828"/>
      <c r="Q52" s="828"/>
      <c r="R52" s="828"/>
      <c r="S52" s="826" t="s">
        <v>1922</v>
      </c>
      <c r="T52" s="826" t="s">
        <v>1923</v>
      </c>
      <c r="U52" s="826" t="s">
        <v>1924</v>
      </c>
    </row>
    <row r="53" spans="1:21" ht="16.5" outlineLevel="1">
      <c r="A53" s="1518"/>
      <c r="B53" s="876" t="s">
        <v>1935</v>
      </c>
      <c r="C53" s="834" t="s">
        <v>1921</v>
      </c>
      <c r="D53" s="823">
        <f t="shared" si="9"/>
        <v>76.5</v>
      </c>
      <c r="E53" s="823">
        <f>案件管理!J24</f>
        <v>76.5</v>
      </c>
      <c r="F53" s="827"/>
      <c r="G53" s="825">
        <v>1</v>
      </c>
      <c r="H53" s="828" t="s">
        <v>1928</v>
      </c>
      <c r="I53" s="828"/>
      <c r="J53" s="828"/>
      <c r="K53" s="828"/>
      <c r="L53" s="828"/>
      <c r="M53" s="828"/>
      <c r="N53" s="828"/>
      <c r="O53" s="828"/>
      <c r="P53" s="828"/>
      <c r="Q53" s="828"/>
      <c r="R53" s="828"/>
      <c r="S53" s="826" t="s">
        <v>1922</v>
      </c>
      <c r="T53" s="826" t="s">
        <v>1923</v>
      </c>
      <c r="U53" s="826" t="s">
        <v>1924</v>
      </c>
    </row>
    <row r="54" spans="1:21" ht="16.5" outlineLevel="1">
      <c r="A54" s="1519"/>
      <c r="B54" s="878" t="s">
        <v>1936</v>
      </c>
      <c r="C54" s="834" t="s">
        <v>1937</v>
      </c>
      <c r="D54" s="823">
        <f>(SUM(D45:D53)+D51)/9</f>
        <v>74.793838911519686</v>
      </c>
      <c r="E54" s="827"/>
      <c r="F54" s="827"/>
      <c r="G54" s="825">
        <v>1</v>
      </c>
      <c r="H54" s="828" t="s">
        <v>1928</v>
      </c>
      <c r="I54" s="828"/>
      <c r="J54" s="828"/>
      <c r="K54" s="828"/>
      <c r="L54" s="828"/>
      <c r="M54" s="828"/>
      <c r="N54" s="828"/>
      <c r="O54" s="828"/>
      <c r="P54" s="828"/>
      <c r="Q54" s="828"/>
      <c r="R54" s="828"/>
      <c r="S54" s="826" t="s">
        <v>1938</v>
      </c>
      <c r="T54" s="825">
        <v>0.5</v>
      </c>
      <c r="U54" s="825">
        <v>0.25</v>
      </c>
    </row>
    <row r="55" spans="1:21" ht="16.5" outlineLevel="1">
      <c r="A55" s="1513" t="s">
        <v>1987</v>
      </c>
      <c r="B55" s="1514"/>
      <c r="C55" s="834" t="s">
        <v>1937</v>
      </c>
      <c r="D55" s="823">
        <f>战略风险!G35</f>
        <v>92</v>
      </c>
      <c r="E55" s="827"/>
      <c r="F55" s="827"/>
      <c r="G55" s="825">
        <v>1</v>
      </c>
      <c r="H55" s="828" t="s">
        <v>1928</v>
      </c>
      <c r="I55" s="828"/>
      <c r="J55" s="828"/>
      <c r="K55" s="828"/>
      <c r="L55" s="828"/>
      <c r="M55" s="828"/>
      <c r="N55" s="828"/>
      <c r="O55" s="828"/>
      <c r="P55" s="828"/>
      <c r="Q55" s="828"/>
      <c r="R55" s="828"/>
      <c r="S55" s="825" t="s">
        <v>1928</v>
      </c>
      <c r="T55" s="825">
        <v>0.15</v>
      </c>
      <c r="U55" s="829">
        <v>7.4999999999999997E-2</v>
      </c>
    </row>
    <row r="56" spans="1:21" ht="16.5" outlineLevel="1">
      <c r="A56" s="1513" t="s">
        <v>1988</v>
      </c>
      <c r="B56" s="1514"/>
      <c r="C56" s="834" t="s">
        <v>1937</v>
      </c>
      <c r="D56" s="823">
        <f>'RR01-声誉风险'!L21</f>
        <v>90</v>
      </c>
      <c r="E56" s="827"/>
      <c r="F56" s="827"/>
      <c r="G56" s="825">
        <v>1</v>
      </c>
      <c r="H56" s="825" t="s">
        <v>1928</v>
      </c>
      <c r="I56" s="825"/>
      <c r="J56" s="825"/>
      <c r="K56" s="825"/>
      <c r="L56" s="825"/>
      <c r="M56" s="825"/>
      <c r="N56" s="825"/>
      <c r="O56" s="825"/>
      <c r="P56" s="825"/>
      <c r="Q56" s="825"/>
      <c r="R56" s="825"/>
      <c r="S56" s="825" t="s">
        <v>1928</v>
      </c>
      <c r="T56" s="825">
        <v>0.1</v>
      </c>
      <c r="U56" s="825">
        <v>0.05</v>
      </c>
    </row>
    <row r="57" spans="1:21" ht="16.5" outlineLevel="1">
      <c r="A57" s="1513" t="s">
        <v>1989</v>
      </c>
      <c r="B57" s="1514"/>
      <c r="C57" s="779" t="s">
        <v>1937</v>
      </c>
      <c r="D57" s="823">
        <f>D37</f>
        <v>88.888888888888886</v>
      </c>
      <c r="E57" s="827"/>
      <c r="F57" s="827"/>
      <c r="G57" s="825">
        <v>1</v>
      </c>
      <c r="H57" s="828" t="s">
        <v>1928</v>
      </c>
      <c r="I57" s="828"/>
      <c r="J57" s="828"/>
      <c r="K57" s="828"/>
      <c r="L57" s="828"/>
      <c r="M57" s="828"/>
      <c r="N57" s="828"/>
      <c r="O57" s="828"/>
      <c r="P57" s="828"/>
      <c r="Q57" s="828"/>
      <c r="R57" s="828"/>
      <c r="S57" s="825" t="s">
        <v>1928</v>
      </c>
      <c r="T57" s="825">
        <v>0.25</v>
      </c>
      <c r="U57" s="829">
        <v>0.125</v>
      </c>
    </row>
    <row r="58" spans="1:21" ht="16.5" outlineLevel="1">
      <c r="A58" s="1511" t="s">
        <v>1990</v>
      </c>
      <c r="B58" s="1511"/>
      <c r="C58" s="834" t="s">
        <v>1942</v>
      </c>
      <c r="D58" s="823">
        <f>D54*T54+D55*T55+D56*T56+D57*T57</f>
        <v>82.419141677982054</v>
      </c>
      <c r="E58" s="827"/>
      <c r="F58" s="827"/>
      <c r="G58" s="825">
        <v>1</v>
      </c>
      <c r="H58" s="828" t="s">
        <v>1928</v>
      </c>
      <c r="I58" s="828"/>
      <c r="J58" s="828"/>
      <c r="K58" s="828"/>
      <c r="L58" s="828"/>
      <c r="M58" s="828"/>
      <c r="N58" s="828"/>
      <c r="O58" s="828"/>
      <c r="P58" s="828"/>
      <c r="Q58" s="828"/>
      <c r="R58" s="828"/>
      <c r="S58" s="825" t="s">
        <v>1928</v>
      </c>
      <c r="T58" s="825">
        <v>1</v>
      </c>
      <c r="U58" s="825">
        <v>0.5</v>
      </c>
    </row>
    <row r="59" spans="1:21" ht="16.5" outlineLevel="1">
      <c r="A59" s="1515" t="s">
        <v>1991</v>
      </c>
      <c r="B59" s="1515"/>
      <c r="C59" s="834" t="s">
        <v>1942</v>
      </c>
      <c r="D59" s="823">
        <v>100</v>
      </c>
      <c r="E59" s="827"/>
      <c r="F59" s="827"/>
      <c r="G59" s="825">
        <v>1</v>
      </c>
      <c r="H59" s="828" t="s">
        <v>1928</v>
      </c>
      <c r="I59" s="828"/>
      <c r="J59" s="828"/>
      <c r="K59" s="828"/>
      <c r="L59" s="828"/>
      <c r="M59" s="828"/>
      <c r="N59" s="828"/>
      <c r="O59" s="828"/>
      <c r="P59" s="828"/>
      <c r="Q59" s="828"/>
      <c r="R59" s="828"/>
      <c r="S59" s="825" t="s">
        <v>1928</v>
      </c>
      <c r="T59" s="828" t="s">
        <v>1928</v>
      </c>
      <c r="U59" s="825">
        <v>0.5</v>
      </c>
    </row>
    <row r="60" spans="1:21" ht="16.5" outlineLevel="1">
      <c r="A60" s="1511" t="s">
        <v>1986</v>
      </c>
      <c r="B60" s="1511"/>
      <c r="C60" s="834" t="s">
        <v>1945</v>
      </c>
      <c r="D60" s="823">
        <f>D58*U58+D59*U59</f>
        <v>91.209570838991027</v>
      </c>
      <c r="E60" s="827"/>
      <c r="F60" s="827"/>
      <c r="G60" s="828" t="s">
        <v>1928</v>
      </c>
      <c r="H60" s="828" t="s">
        <v>1928</v>
      </c>
      <c r="I60" s="828"/>
      <c r="J60" s="828"/>
      <c r="K60" s="828"/>
      <c r="L60" s="828"/>
      <c r="M60" s="828"/>
      <c r="N60" s="828"/>
      <c r="O60" s="828"/>
      <c r="P60" s="828"/>
      <c r="Q60" s="828"/>
      <c r="R60" s="828"/>
      <c r="S60" s="825" t="s">
        <v>1928</v>
      </c>
      <c r="T60" s="828" t="s">
        <v>1928</v>
      </c>
      <c r="U60" s="825">
        <v>1</v>
      </c>
    </row>
    <row r="62" spans="1:21">
      <c r="A62" s="1517" t="s">
        <v>1995</v>
      </c>
      <c r="B62" s="1517"/>
      <c r="D62" s="972">
        <f>D80</f>
        <v>0.33888888888888885</v>
      </c>
    </row>
    <row r="63" spans="1:21" ht="16.149999999999999" customHeight="1" outlineLevel="1">
      <c r="A63" s="1522" t="s">
        <v>1965</v>
      </c>
      <c r="B63" s="1522"/>
      <c r="C63" s="1520" t="s">
        <v>1966</v>
      </c>
      <c r="D63" s="1521" t="s">
        <v>1967</v>
      </c>
      <c r="E63" s="1520" t="s">
        <v>1968</v>
      </c>
      <c r="F63" s="1520" t="s">
        <v>1969</v>
      </c>
      <c r="G63" s="1516" t="s">
        <v>1970</v>
      </c>
      <c r="H63" s="1516"/>
      <c r="I63" s="874"/>
      <c r="J63" s="874"/>
      <c r="K63" s="874"/>
      <c r="L63" s="874"/>
      <c r="M63" s="874"/>
      <c r="N63" s="874"/>
      <c r="O63" s="874"/>
      <c r="P63" s="874"/>
      <c r="Q63" s="874"/>
      <c r="R63" s="874"/>
      <c r="S63" s="1516" t="s">
        <v>1971</v>
      </c>
      <c r="T63" s="1516" t="s">
        <v>1972</v>
      </c>
      <c r="U63" s="1516" t="s">
        <v>1973</v>
      </c>
    </row>
    <row r="64" spans="1:21" ht="15" customHeight="1" outlineLevel="1">
      <c r="A64" s="1523"/>
      <c r="B64" s="1523"/>
      <c r="C64" s="1520"/>
      <c r="D64" s="1516"/>
      <c r="E64" s="1520"/>
      <c r="F64" s="1520"/>
      <c r="G64" s="874" t="s">
        <v>1974</v>
      </c>
      <c r="H64" s="874" t="s">
        <v>1975</v>
      </c>
      <c r="I64" s="874" t="s">
        <v>1976</v>
      </c>
      <c r="J64" s="874" t="s">
        <v>1977</v>
      </c>
      <c r="K64" s="874" t="s">
        <v>1978</v>
      </c>
      <c r="L64" s="874" t="s">
        <v>1979</v>
      </c>
      <c r="M64" s="874" t="s">
        <v>1980</v>
      </c>
      <c r="N64" s="874" t="s">
        <v>1981</v>
      </c>
      <c r="O64" s="874" t="s">
        <v>1982</v>
      </c>
      <c r="P64" s="874" t="s">
        <v>1983</v>
      </c>
      <c r="Q64" s="874" t="s">
        <v>1984</v>
      </c>
      <c r="R64" s="874" t="s">
        <v>1985</v>
      </c>
      <c r="S64" s="1516"/>
      <c r="T64" s="1516"/>
      <c r="U64" s="1516"/>
    </row>
    <row r="65" spans="1:21" ht="16.5" outlineLevel="1">
      <c r="A65" s="1518" t="s">
        <v>1919</v>
      </c>
      <c r="B65" s="875" t="s">
        <v>1920</v>
      </c>
      <c r="C65" s="835" t="s">
        <v>1921</v>
      </c>
      <c r="D65" s="870">
        <f>E65*G65+F65*H65</f>
        <v>3.1999999999999997</v>
      </c>
      <c r="E65" s="870">
        <f>'OR02-销售承保'!R42</f>
        <v>6</v>
      </c>
      <c r="F65" s="870">
        <f>AVERAGE(I65:R65)</f>
        <v>2</v>
      </c>
      <c r="G65" s="872">
        <v>0.3</v>
      </c>
      <c r="H65" s="872">
        <v>0.7</v>
      </c>
      <c r="I65" s="871">
        <f>'OR04-分公司销售、承保、保全'!W81</f>
        <v>0</v>
      </c>
      <c r="J65" s="871">
        <f>'OR04-分公司销售、承保、保全'!AC81</f>
        <v>0</v>
      </c>
      <c r="K65" s="871">
        <f>'OR04-分公司销售、承保、保全'!AI81</f>
        <v>0</v>
      </c>
      <c r="L65" s="871">
        <f>'OR04-分公司销售、承保、保全'!AO81</f>
        <v>0</v>
      </c>
      <c r="M65" s="871">
        <f>'OR04-分公司销售、承保、保全'!AU81</f>
        <v>0</v>
      </c>
      <c r="N65" s="871">
        <f>'OR04-分公司销售、承保、保全'!BA81</f>
        <v>0</v>
      </c>
      <c r="O65" s="871">
        <f>'OR04-分公司销售、承保、保全'!BG81</f>
        <v>10</v>
      </c>
      <c r="P65" s="871">
        <f>'OR04-分公司销售、承保、保全'!BM81</f>
        <v>0</v>
      </c>
      <c r="Q65" s="871">
        <f>'OR04-分公司销售、承保、保全'!BS81</f>
        <v>10</v>
      </c>
      <c r="R65" s="871">
        <f>'OR04-分公司销售、承保、保全'!BY81</f>
        <v>0</v>
      </c>
      <c r="S65" s="873" t="s">
        <v>1922</v>
      </c>
      <c r="T65" s="873" t="s">
        <v>1923</v>
      </c>
      <c r="U65" s="873" t="s">
        <v>1924</v>
      </c>
    </row>
    <row r="66" spans="1:21" ht="16.5" outlineLevel="1">
      <c r="A66" s="1518"/>
      <c r="B66" s="876" t="s">
        <v>1925</v>
      </c>
      <c r="C66" s="834" t="s">
        <v>1921</v>
      </c>
      <c r="D66" s="823">
        <f>E66*G66+F66*H66</f>
        <v>7</v>
      </c>
      <c r="E66" s="823">
        <f>'OR06-理赔保全'!M26</f>
        <v>0</v>
      </c>
      <c r="F66" s="823">
        <f>AVERAGE(I66:R66)</f>
        <v>10</v>
      </c>
      <c r="G66" s="825">
        <v>0.3</v>
      </c>
      <c r="H66" s="825">
        <v>0.7</v>
      </c>
      <c r="I66" s="824">
        <f>'OR08-分公司理赔'!W46</f>
        <v>10</v>
      </c>
      <c r="J66" s="824">
        <f>'OR08-分公司理赔'!AC46</f>
        <v>10</v>
      </c>
      <c r="K66" s="824">
        <f>'OR08-分公司理赔'!AI46</f>
        <v>10</v>
      </c>
      <c r="L66" s="824">
        <f>'OR08-分公司理赔'!AO46</f>
        <v>10</v>
      </c>
      <c r="M66" s="824">
        <f>'OR08-分公司理赔'!AU46</f>
        <v>10</v>
      </c>
      <c r="N66" s="824">
        <f>'OR08-分公司理赔'!BA46</f>
        <v>10</v>
      </c>
      <c r="O66" s="824">
        <f>'OR08-分公司理赔'!BG46</f>
        <v>10</v>
      </c>
      <c r="P66" s="824">
        <f>'OR08-分公司理赔'!BM46</f>
        <v>10</v>
      </c>
      <c r="Q66" s="824">
        <f>'OR08-分公司理赔'!BM46</f>
        <v>10</v>
      </c>
      <c r="R66" s="824">
        <f>'OR08-分公司理赔'!BY46</f>
        <v>10</v>
      </c>
      <c r="S66" s="826" t="s">
        <v>1922</v>
      </c>
      <c r="T66" s="826" t="s">
        <v>1923</v>
      </c>
      <c r="U66" s="826" t="s">
        <v>1924</v>
      </c>
    </row>
    <row r="67" spans="1:21" ht="16.5" outlineLevel="1">
      <c r="A67" s="1518"/>
      <c r="B67" s="876" t="s">
        <v>1926</v>
      </c>
      <c r="C67" s="834" t="s">
        <v>1921</v>
      </c>
      <c r="D67" s="823">
        <f>E67*G67+F67*H67</f>
        <v>2</v>
      </c>
      <c r="E67" s="823">
        <f>'OR12-财务管理'!P45</f>
        <v>0</v>
      </c>
      <c r="F67" s="823">
        <f>AVERAGE(I67:R67)</f>
        <v>5</v>
      </c>
      <c r="G67" s="825">
        <v>0.6</v>
      </c>
      <c r="H67" s="825">
        <v>0.4</v>
      </c>
      <c r="I67" s="824">
        <f>'OR13-分公司财务管理'!W62</f>
        <v>10</v>
      </c>
      <c r="J67" s="824">
        <f>'OR13-分公司财务管理'!AC62</f>
        <v>0</v>
      </c>
      <c r="K67" s="824">
        <f>'OR13-分公司财务管理'!AI62</f>
        <v>10</v>
      </c>
      <c r="L67" s="824">
        <f>'OR13-分公司财务管理'!AO62</f>
        <v>10</v>
      </c>
      <c r="M67" s="824">
        <f>'OR13-分公司财务管理'!AU62</f>
        <v>10</v>
      </c>
      <c r="N67" s="824">
        <f>'OR13-分公司财务管理'!BA62</f>
        <v>0</v>
      </c>
      <c r="O67" s="824">
        <f>'OR13-分公司财务管理'!BG62</f>
        <v>10</v>
      </c>
      <c r="P67" s="824">
        <f>'OR13-分公司财务管理'!BM62</f>
        <v>0</v>
      </c>
      <c r="Q67" s="824">
        <f>'OR13-分公司财务管理'!BS62</f>
        <v>0</v>
      </c>
      <c r="R67" s="824">
        <f>'OR13-分公司财务管理'!BY62</f>
        <v>0</v>
      </c>
      <c r="S67" s="826" t="s">
        <v>1922</v>
      </c>
      <c r="T67" s="826" t="s">
        <v>1923</v>
      </c>
      <c r="U67" s="826" t="s">
        <v>1924</v>
      </c>
    </row>
    <row r="68" spans="1:21" ht="16.5" outlineLevel="1">
      <c r="A68" s="1518"/>
      <c r="B68" s="876" t="s">
        <v>1927</v>
      </c>
      <c r="C68" s="834" t="s">
        <v>1921</v>
      </c>
      <c r="D68" s="823">
        <f t="shared" ref="D68:D73" si="10">E68</f>
        <v>0</v>
      </c>
      <c r="E68" s="827"/>
      <c r="F68" s="827"/>
      <c r="G68" s="825">
        <v>1</v>
      </c>
      <c r="H68" s="828" t="s">
        <v>1928</v>
      </c>
      <c r="I68" s="828"/>
      <c r="J68" s="828"/>
      <c r="K68" s="828"/>
      <c r="L68" s="828"/>
      <c r="M68" s="828"/>
      <c r="N68" s="828"/>
      <c r="O68" s="828"/>
      <c r="P68" s="828"/>
      <c r="Q68" s="828"/>
      <c r="R68" s="828"/>
      <c r="S68" s="826" t="s">
        <v>1922</v>
      </c>
      <c r="T68" s="826" t="s">
        <v>1923</v>
      </c>
      <c r="U68" s="826" t="s">
        <v>1924</v>
      </c>
    </row>
    <row r="69" spans="1:21" ht="16.5" outlineLevel="1">
      <c r="A69" s="1518"/>
      <c r="B69" s="876" t="s">
        <v>1929</v>
      </c>
      <c r="C69" s="834" t="s">
        <v>1921</v>
      </c>
      <c r="D69" s="823" t="str">
        <f t="shared" si="10"/>
        <v>无扣分</v>
      </c>
      <c r="E69" s="823" t="s">
        <v>1930</v>
      </c>
      <c r="F69" s="827"/>
      <c r="G69" s="825">
        <v>1</v>
      </c>
      <c r="H69" s="828" t="s">
        <v>1928</v>
      </c>
      <c r="I69" s="828"/>
      <c r="J69" s="828"/>
      <c r="K69" s="828"/>
      <c r="L69" s="828"/>
      <c r="M69" s="828"/>
      <c r="N69" s="828"/>
      <c r="O69" s="828"/>
      <c r="P69" s="828"/>
      <c r="Q69" s="828"/>
      <c r="R69" s="828"/>
      <c r="S69" s="826" t="s">
        <v>1922</v>
      </c>
      <c r="T69" s="826" t="s">
        <v>1923</v>
      </c>
      <c r="U69" s="826" t="s">
        <v>1924</v>
      </c>
    </row>
    <row r="70" spans="1:21" ht="16.5" outlineLevel="1">
      <c r="A70" s="1518"/>
      <c r="B70" s="876" t="s">
        <v>1931</v>
      </c>
      <c r="C70" s="834" t="s">
        <v>1921</v>
      </c>
      <c r="D70" s="823">
        <f t="shared" si="10"/>
        <v>0</v>
      </c>
      <c r="E70" s="827"/>
      <c r="F70" s="827"/>
      <c r="G70" s="825">
        <v>1</v>
      </c>
      <c r="H70" s="828" t="s">
        <v>1928</v>
      </c>
      <c r="I70" s="828"/>
      <c r="J70" s="828"/>
      <c r="K70" s="828"/>
      <c r="L70" s="828"/>
      <c r="M70" s="828"/>
      <c r="N70" s="828"/>
      <c r="O70" s="828"/>
      <c r="P70" s="828"/>
      <c r="Q70" s="828"/>
      <c r="R70" s="828"/>
      <c r="S70" s="826" t="s">
        <v>1922</v>
      </c>
      <c r="T70" s="826" t="s">
        <v>1923</v>
      </c>
      <c r="U70" s="826" t="s">
        <v>1924</v>
      </c>
    </row>
    <row r="71" spans="1:21" ht="16.5" outlineLevel="1">
      <c r="A71" s="1518"/>
      <c r="B71" s="876" t="s">
        <v>1932</v>
      </c>
      <c r="C71" s="834" t="s">
        <v>1921</v>
      </c>
      <c r="D71" s="823">
        <f t="shared" si="10"/>
        <v>0</v>
      </c>
      <c r="E71" s="823">
        <f>'OR15-准备金再保险'!M22</f>
        <v>0</v>
      </c>
      <c r="F71" s="827"/>
      <c r="G71" s="825">
        <v>1</v>
      </c>
      <c r="H71" s="828" t="s">
        <v>1928</v>
      </c>
      <c r="I71" s="828"/>
      <c r="J71" s="828"/>
      <c r="K71" s="828"/>
      <c r="L71" s="828"/>
      <c r="M71" s="828"/>
      <c r="N71" s="828"/>
      <c r="O71" s="828"/>
      <c r="P71" s="828"/>
      <c r="Q71" s="828"/>
      <c r="R71" s="828"/>
      <c r="S71" s="877" t="s">
        <v>1933</v>
      </c>
      <c r="T71" s="826" t="s">
        <v>1922</v>
      </c>
      <c r="U71" s="826" t="s">
        <v>1923</v>
      </c>
    </row>
    <row r="72" spans="1:21" ht="16.5" outlineLevel="1">
      <c r="A72" s="1518"/>
      <c r="B72" s="876" t="s">
        <v>1934</v>
      </c>
      <c r="C72" s="834" t="s">
        <v>1921</v>
      </c>
      <c r="D72" s="823">
        <f t="shared" si="10"/>
        <v>0</v>
      </c>
      <c r="E72" s="827"/>
      <c r="F72" s="827"/>
      <c r="G72" s="825">
        <v>1</v>
      </c>
      <c r="H72" s="828" t="s">
        <v>1928</v>
      </c>
      <c r="I72" s="828"/>
      <c r="J72" s="828"/>
      <c r="K72" s="828"/>
      <c r="L72" s="828"/>
      <c r="M72" s="828"/>
      <c r="N72" s="828"/>
      <c r="O72" s="828"/>
      <c r="P72" s="828"/>
      <c r="Q72" s="828"/>
      <c r="R72" s="828"/>
      <c r="S72" s="826" t="s">
        <v>1922</v>
      </c>
      <c r="T72" s="826" t="s">
        <v>1923</v>
      </c>
      <c r="U72" s="826" t="s">
        <v>1924</v>
      </c>
    </row>
    <row r="73" spans="1:21" ht="16.5" outlineLevel="1">
      <c r="A73" s="1518"/>
      <c r="B73" s="876" t="s">
        <v>1935</v>
      </c>
      <c r="C73" s="834" t="s">
        <v>1921</v>
      </c>
      <c r="D73" s="823">
        <f t="shared" si="10"/>
        <v>0</v>
      </c>
      <c r="E73" s="823">
        <f>案件管理!J25</f>
        <v>0</v>
      </c>
      <c r="F73" s="827"/>
      <c r="G73" s="825">
        <v>1</v>
      </c>
      <c r="H73" s="828" t="s">
        <v>1928</v>
      </c>
      <c r="I73" s="828"/>
      <c r="J73" s="828"/>
      <c r="K73" s="828"/>
      <c r="L73" s="828"/>
      <c r="M73" s="828"/>
      <c r="N73" s="828"/>
      <c r="O73" s="828"/>
      <c r="P73" s="828"/>
      <c r="Q73" s="828"/>
      <c r="R73" s="828"/>
      <c r="S73" s="826" t="s">
        <v>1922</v>
      </c>
      <c r="T73" s="826" t="s">
        <v>1923</v>
      </c>
      <c r="U73" s="826" t="s">
        <v>1924</v>
      </c>
    </row>
    <row r="74" spans="1:21" ht="16.5" outlineLevel="1">
      <c r="A74" s="1519"/>
      <c r="B74" s="878" t="s">
        <v>1993</v>
      </c>
      <c r="C74" s="834" t="s">
        <v>1937</v>
      </c>
      <c r="D74" s="823">
        <f>(SUM(D65:D73)+D71)/9</f>
        <v>1.3555555555555554</v>
      </c>
      <c r="E74" s="827"/>
      <c r="F74" s="827"/>
      <c r="G74" s="825">
        <v>1</v>
      </c>
      <c r="H74" s="828" t="s">
        <v>1928</v>
      </c>
      <c r="I74" s="828"/>
      <c r="J74" s="828"/>
      <c r="K74" s="828"/>
      <c r="L74" s="828"/>
      <c r="M74" s="828"/>
      <c r="N74" s="828"/>
      <c r="O74" s="828"/>
      <c r="P74" s="828"/>
      <c r="Q74" s="828"/>
      <c r="R74" s="828"/>
      <c r="S74" s="826" t="s">
        <v>1938</v>
      </c>
      <c r="T74" s="825">
        <v>0.5</v>
      </c>
      <c r="U74" s="825">
        <v>0.25</v>
      </c>
    </row>
    <row r="75" spans="1:21" ht="16.5" outlineLevel="1">
      <c r="A75" s="1513" t="s">
        <v>1939</v>
      </c>
      <c r="B75" s="1514"/>
      <c r="C75" s="834" t="s">
        <v>1937</v>
      </c>
      <c r="D75" s="823">
        <v>0</v>
      </c>
      <c r="E75" s="827"/>
      <c r="F75" s="827"/>
      <c r="G75" s="825">
        <v>1</v>
      </c>
      <c r="H75" s="828" t="s">
        <v>1928</v>
      </c>
      <c r="I75" s="828"/>
      <c r="J75" s="828"/>
      <c r="K75" s="828"/>
      <c r="L75" s="828"/>
      <c r="M75" s="828"/>
      <c r="N75" s="828"/>
      <c r="O75" s="828"/>
      <c r="P75" s="828"/>
      <c r="Q75" s="828"/>
      <c r="R75" s="828"/>
      <c r="S75" s="825" t="s">
        <v>1928</v>
      </c>
      <c r="T75" s="825">
        <v>0.15</v>
      </c>
      <c r="U75" s="829">
        <v>7.4999999999999997E-2</v>
      </c>
    </row>
    <row r="76" spans="1:21" ht="16.5" outlineLevel="1">
      <c r="A76" s="1513" t="s">
        <v>1940</v>
      </c>
      <c r="B76" s="1514"/>
      <c r="C76" s="834" t="s">
        <v>1937</v>
      </c>
      <c r="D76" s="823">
        <v>0</v>
      </c>
      <c r="E76" s="827"/>
      <c r="F76" s="827"/>
      <c r="G76" s="825">
        <v>1</v>
      </c>
      <c r="H76" s="825" t="s">
        <v>1928</v>
      </c>
      <c r="I76" s="825"/>
      <c r="J76" s="825"/>
      <c r="K76" s="825"/>
      <c r="L76" s="825"/>
      <c r="M76" s="825"/>
      <c r="N76" s="825"/>
      <c r="O76" s="825"/>
      <c r="P76" s="825"/>
      <c r="Q76" s="825"/>
      <c r="R76" s="825"/>
      <c r="S76" s="825" t="s">
        <v>1928</v>
      </c>
      <c r="T76" s="825">
        <v>0.1</v>
      </c>
      <c r="U76" s="825">
        <v>0.05</v>
      </c>
    </row>
    <row r="77" spans="1:21" ht="16.5" outlineLevel="1">
      <c r="A77" s="1513" t="s">
        <v>1941</v>
      </c>
      <c r="B77" s="1514"/>
      <c r="C77" s="779" t="s">
        <v>1937</v>
      </c>
      <c r="D77" s="823">
        <v>0</v>
      </c>
      <c r="E77" s="827"/>
      <c r="F77" s="827"/>
      <c r="G77" s="825">
        <v>1</v>
      </c>
      <c r="H77" s="828" t="s">
        <v>1928</v>
      </c>
      <c r="I77" s="828"/>
      <c r="J77" s="828"/>
      <c r="K77" s="828"/>
      <c r="L77" s="828"/>
      <c r="M77" s="828"/>
      <c r="N77" s="828"/>
      <c r="O77" s="828"/>
      <c r="P77" s="828"/>
      <c r="Q77" s="828"/>
      <c r="R77" s="828"/>
      <c r="S77" s="825" t="s">
        <v>1928</v>
      </c>
      <c r="T77" s="825">
        <v>0.25</v>
      </c>
      <c r="U77" s="829">
        <v>0.125</v>
      </c>
    </row>
    <row r="78" spans="1:21" ht="16.5" outlineLevel="1">
      <c r="A78" s="1511" t="s">
        <v>1990</v>
      </c>
      <c r="B78" s="1511"/>
      <c r="C78" s="834" t="s">
        <v>1942</v>
      </c>
      <c r="D78" s="823">
        <f>D74*T74+D75*T75+D76*T76+D77*T77</f>
        <v>0.6777777777777777</v>
      </c>
      <c r="E78" s="827"/>
      <c r="F78" s="827"/>
      <c r="G78" s="825">
        <v>1</v>
      </c>
      <c r="H78" s="828" t="s">
        <v>1928</v>
      </c>
      <c r="I78" s="828"/>
      <c r="J78" s="828"/>
      <c r="K78" s="828"/>
      <c r="L78" s="828"/>
      <c r="M78" s="828"/>
      <c r="N78" s="828"/>
      <c r="O78" s="828"/>
      <c r="P78" s="828"/>
      <c r="Q78" s="828"/>
      <c r="R78" s="828"/>
      <c r="S78" s="825" t="s">
        <v>1928</v>
      </c>
      <c r="T78" s="825">
        <v>1</v>
      </c>
      <c r="U78" s="825">
        <v>0.5</v>
      </c>
    </row>
    <row r="79" spans="1:21" ht="16.5" outlineLevel="1">
      <c r="A79" s="1515" t="s">
        <v>1943</v>
      </c>
      <c r="B79" s="1515"/>
      <c r="C79" s="834" t="s">
        <v>1942</v>
      </c>
      <c r="D79" s="823">
        <v>0</v>
      </c>
      <c r="E79" s="827"/>
      <c r="F79" s="827"/>
      <c r="G79" s="825">
        <v>1</v>
      </c>
      <c r="H79" s="828" t="s">
        <v>1928</v>
      </c>
      <c r="I79" s="828"/>
      <c r="J79" s="828"/>
      <c r="K79" s="828"/>
      <c r="L79" s="828"/>
      <c r="M79" s="828"/>
      <c r="N79" s="828"/>
      <c r="O79" s="828"/>
      <c r="P79" s="828"/>
      <c r="Q79" s="828"/>
      <c r="R79" s="828"/>
      <c r="S79" s="825" t="s">
        <v>1928</v>
      </c>
      <c r="T79" s="828" t="s">
        <v>1928</v>
      </c>
      <c r="U79" s="825">
        <v>0.5</v>
      </c>
    </row>
    <row r="80" spans="1:21" ht="16.5" outlineLevel="1">
      <c r="A80" s="1511" t="s">
        <v>1944</v>
      </c>
      <c r="B80" s="1511"/>
      <c r="C80" s="834" t="s">
        <v>1945</v>
      </c>
      <c r="D80" s="823">
        <f>D78*U78+D79*U79</f>
        <v>0.33888888888888885</v>
      </c>
      <c r="E80" s="827"/>
      <c r="F80" s="827"/>
      <c r="G80" s="828" t="s">
        <v>1928</v>
      </c>
      <c r="H80" s="828" t="s">
        <v>1928</v>
      </c>
      <c r="I80" s="828"/>
      <c r="J80" s="828"/>
      <c r="K80" s="828"/>
      <c r="L80" s="828"/>
      <c r="M80" s="828"/>
      <c r="N80" s="828"/>
      <c r="O80" s="828"/>
      <c r="P80" s="828"/>
      <c r="Q80" s="828"/>
      <c r="R80" s="828"/>
      <c r="S80" s="825" t="s">
        <v>1928</v>
      </c>
      <c r="T80" s="828" t="s">
        <v>1928</v>
      </c>
      <c r="U80" s="825">
        <v>1</v>
      </c>
    </row>
    <row r="82" spans="1:21">
      <c r="A82" s="1517" t="s">
        <v>1996</v>
      </c>
      <c r="B82" s="1517"/>
      <c r="D82" s="972">
        <f>D100</f>
        <v>3.3861111111111111</v>
      </c>
    </row>
    <row r="83" spans="1:21" ht="16.149999999999999" customHeight="1" outlineLevel="1">
      <c r="A83" s="1522" t="s">
        <v>1965</v>
      </c>
      <c r="B83" s="1522"/>
      <c r="C83" s="1520" t="s">
        <v>1966</v>
      </c>
      <c r="D83" s="1521" t="s">
        <v>1967</v>
      </c>
      <c r="E83" s="1520" t="s">
        <v>1968</v>
      </c>
      <c r="F83" s="1520" t="s">
        <v>1969</v>
      </c>
      <c r="G83" s="1516" t="s">
        <v>1970</v>
      </c>
      <c r="H83" s="1516"/>
      <c r="I83" s="874"/>
      <c r="J83" s="874"/>
      <c r="K83" s="874"/>
      <c r="L83" s="874"/>
      <c r="M83" s="874"/>
      <c r="N83" s="874"/>
      <c r="O83" s="874"/>
      <c r="P83" s="874"/>
      <c r="Q83" s="874"/>
      <c r="R83" s="874"/>
      <c r="S83" s="1516" t="s">
        <v>1971</v>
      </c>
      <c r="T83" s="1516" t="s">
        <v>1972</v>
      </c>
      <c r="U83" s="1516" t="s">
        <v>1973</v>
      </c>
    </row>
    <row r="84" spans="1:21" ht="15" customHeight="1" outlineLevel="1">
      <c r="A84" s="1523"/>
      <c r="B84" s="1523"/>
      <c r="C84" s="1520"/>
      <c r="D84" s="1516"/>
      <c r="E84" s="1520"/>
      <c r="F84" s="1520"/>
      <c r="G84" s="874" t="s">
        <v>1974</v>
      </c>
      <c r="H84" s="874" t="s">
        <v>1975</v>
      </c>
      <c r="I84" s="874" t="s">
        <v>1976</v>
      </c>
      <c r="J84" s="874" t="s">
        <v>1977</v>
      </c>
      <c r="K84" s="874" t="s">
        <v>1978</v>
      </c>
      <c r="L84" s="874" t="s">
        <v>1979</v>
      </c>
      <c r="M84" s="874" t="s">
        <v>1980</v>
      </c>
      <c r="N84" s="874" t="s">
        <v>1981</v>
      </c>
      <c r="O84" s="874" t="s">
        <v>1982</v>
      </c>
      <c r="P84" s="874" t="s">
        <v>1983</v>
      </c>
      <c r="Q84" s="874" t="s">
        <v>1984</v>
      </c>
      <c r="R84" s="874" t="s">
        <v>1985</v>
      </c>
      <c r="S84" s="1516"/>
      <c r="T84" s="1516"/>
      <c r="U84" s="1516"/>
    </row>
    <row r="85" spans="1:21" ht="16.5" outlineLevel="1">
      <c r="A85" s="1518" t="s">
        <v>1919</v>
      </c>
      <c r="B85" s="875" t="s">
        <v>1920</v>
      </c>
      <c r="C85" s="835" t="s">
        <v>1921</v>
      </c>
      <c r="D85" s="870">
        <f>E85*G85+F85*H85</f>
        <v>17.899999999999999</v>
      </c>
      <c r="E85" s="870">
        <f>'OR02-销售承保'!R43</f>
        <v>41</v>
      </c>
      <c r="F85" s="870">
        <f>AVERAGE(I85:R85)</f>
        <v>8</v>
      </c>
      <c r="G85" s="872">
        <v>0.3</v>
      </c>
      <c r="H85" s="872">
        <v>0.7</v>
      </c>
      <c r="I85" s="871">
        <f>'OR04-分公司销售、承保、保全'!W82</f>
        <v>10</v>
      </c>
      <c r="J85" s="871">
        <f>'OR04-分公司销售、承保、保全'!AC82</f>
        <v>10</v>
      </c>
      <c r="K85" s="871">
        <f>'OR04-分公司销售、承保、保全'!AI82</f>
        <v>10</v>
      </c>
      <c r="L85" s="871">
        <f>'OR04-分公司销售、承保、保全'!AO82</f>
        <v>10</v>
      </c>
      <c r="M85" s="871">
        <f>'OR04-分公司销售、承保、保全'!AU82</f>
        <v>10</v>
      </c>
      <c r="N85" s="871">
        <f>'OR04-分公司销售、承保、保全'!BA82</f>
        <v>10</v>
      </c>
      <c r="O85" s="871">
        <f>'OR04-分公司销售、承保、保全'!BG82</f>
        <v>0</v>
      </c>
      <c r="P85" s="871">
        <f>'OR04-分公司销售、承保、保全'!BM82</f>
        <v>10</v>
      </c>
      <c r="Q85" s="871">
        <f>'OR04-分公司销售、承保、保全'!BS82</f>
        <v>0</v>
      </c>
      <c r="R85" s="871">
        <f>'OR04-分公司销售、承保、保全'!BY82</f>
        <v>10</v>
      </c>
      <c r="S85" s="873" t="s">
        <v>1922</v>
      </c>
      <c r="T85" s="873" t="s">
        <v>1923</v>
      </c>
      <c r="U85" s="873" t="s">
        <v>1924</v>
      </c>
    </row>
    <row r="86" spans="1:21" ht="16.5" outlineLevel="1">
      <c r="A86" s="1518"/>
      <c r="B86" s="876" t="s">
        <v>1925</v>
      </c>
      <c r="C86" s="834" t="s">
        <v>1921</v>
      </c>
      <c r="D86" s="823">
        <f>E86*G86+F86*H86</f>
        <v>23</v>
      </c>
      <c r="E86" s="823">
        <f>'OR06-理赔保全'!M27</f>
        <v>58</v>
      </c>
      <c r="F86" s="823">
        <f>AVERAGE(I86:R86)</f>
        <v>8</v>
      </c>
      <c r="G86" s="825">
        <v>0.3</v>
      </c>
      <c r="H86" s="825">
        <v>0.7</v>
      </c>
      <c r="I86" s="824">
        <f>'OR08-分公司理赔'!W47</f>
        <v>8</v>
      </c>
      <c r="J86" s="824">
        <f>'OR08-分公司理赔'!AC47</f>
        <v>8</v>
      </c>
      <c r="K86" s="824">
        <f>'OR08-分公司理赔'!AI47</f>
        <v>8</v>
      </c>
      <c r="L86" s="824">
        <f>'OR08-分公司理赔'!AO47</f>
        <v>8</v>
      </c>
      <c r="M86" s="824">
        <f>'OR08-分公司理赔'!AU47</f>
        <v>8</v>
      </c>
      <c r="N86" s="824">
        <f>'OR08-分公司理赔'!AU47</f>
        <v>8</v>
      </c>
      <c r="O86" s="824">
        <f>'OR08-分公司理赔'!BA47</f>
        <v>8</v>
      </c>
      <c r="P86" s="824">
        <f>'OR08-分公司理赔'!BM47</f>
        <v>8</v>
      </c>
      <c r="Q86" s="824">
        <f>'OR08-分公司理赔'!BS47</f>
        <v>8</v>
      </c>
      <c r="R86" s="824">
        <f>'OR08-分公司理赔'!BY47</f>
        <v>8</v>
      </c>
      <c r="S86" s="826" t="s">
        <v>1922</v>
      </c>
      <c r="T86" s="826" t="s">
        <v>1923</v>
      </c>
      <c r="U86" s="826" t="s">
        <v>1924</v>
      </c>
    </row>
    <row r="87" spans="1:21" ht="16.5" outlineLevel="1">
      <c r="A87" s="1518"/>
      <c r="B87" s="876" t="s">
        <v>1926</v>
      </c>
      <c r="C87" s="834" t="s">
        <v>1921</v>
      </c>
      <c r="D87" s="823">
        <f>E87*G87+F87*H87</f>
        <v>8</v>
      </c>
      <c r="E87" s="823">
        <f>'OR12-财务管理'!P46</f>
        <v>10</v>
      </c>
      <c r="F87" s="823">
        <f>AVERAGE(I87:R87)</f>
        <v>5</v>
      </c>
      <c r="G87" s="825">
        <v>0.6</v>
      </c>
      <c r="H87" s="825">
        <v>0.4</v>
      </c>
      <c r="I87" s="824">
        <f>'OR13-分公司财务管理'!W63</f>
        <v>0</v>
      </c>
      <c r="J87" s="824">
        <f>'OR13-分公司财务管理'!AC63</f>
        <v>10</v>
      </c>
      <c r="K87" s="824">
        <f>'OR13-分公司财务管理'!AI63</f>
        <v>0</v>
      </c>
      <c r="L87" s="824">
        <f>'OR13-分公司财务管理'!AO63</f>
        <v>0</v>
      </c>
      <c r="M87" s="824">
        <f>'OR13-分公司财务管理'!AU63</f>
        <v>0</v>
      </c>
      <c r="N87" s="824">
        <f>'OR13-分公司财务管理'!BA63</f>
        <v>10</v>
      </c>
      <c r="O87" s="824">
        <f>'OR13-分公司财务管理'!BG63</f>
        <v>0</v>
      </c>
      <c r="P87" s="824">
        <f>'OR13-分公司财务管理'!BM63</f>
        <v>10</v>
      </c>
      <c r="Q87" s="824">
        <f>'OR13-分公司财务管理'!BS63</f>
        <v>10</v>
      </c>
      <c r="R87" s="824">
        <f>'OR13-分公司财务管理'!BY63</f>
        <v>10</v>
      </c>
      <c r="S87" s="826" t="s">
        <v>1922</v>
      </c>
      <c r="T87" s="826" t="s">
        <v>1923</v>
      </c>
      <c r="U87" s="826" t="s">
        <v>1924</v>
      </c>
    </row>
    <row r="88" spans="1:21" ht="16.5" outlineLevel="1">
      <c r="A88" s="1518"/>
      <c r="B88" s="876" t="s">
        <v>1927</v>
      </c>
      <c r="C88" s="834" t="s">
        <v>1921</v>
      </c>
      <c r="D88" s="823">
        <f t="shared" ref="D88:D93" si="11">E88</f>
        <v>0</v>
      </c>
      <c r="E88" s="827"/>
      <c r="F88" s="827"/>
      <c r="G88" s="825">
        <v>1</v>
      </c>
      <c r="H88" s="828" t="s">
        <v>1928</v>
      </c>
      <c r="I88" s="828"/>
      <c r="J88" s="828"/>
      <c r="K88" s="828"/>
      <c r="L88" s="828"/>
      <c r="M88" s="828"/>
      <c r="N88" s="828"/>
      <c r="O88" s="828"/>
      <c r="P88" s="828"/>
      <c r="Q88" s="828"/>
      <c r="R88" s="828"/>
      <c r="S88" s="826" t="s">
        <v>1922</v>
      </c>
      <c r="T88" s="826" t="s">
        <v>1923</v>
      </c>
      <c r="U88" s="826" t="s">
        <v>1924</v>
      </c>
    </row>
    <row r="89" spans="1:21" ht="16.5" outlineLevel="1">
      <c r="A89" s="1518"/>
      <c r="B89" s="876" t="s">
        <v>1929</v>
      </c>
      <c r="C89" s="834" t="s">
        <v>1921</v>
      </c>
      <c r="D89" s="823" t="str">
        <f t="shared" si="11"/>
        <v>无扣分</v>
      </c>
      <c r="E89" s="823" t="s">
        <v>1930</v>
      </c>
      <c r="F89" s="827"/>
      <c r="G89" s="825">
        <v>1</v>
      </c>
      <c r="H89" s="828" t="s">
        <v>1928</v>
      </c>
      <c r="I89" s="828"/>
      <c r="J89" s="828"/>
      <c r="K89" s="828"/>
      <c r="L89" s="828"/>
      <c r="M89" s="828"/>
      <c r="N89" s="828"/>
      <c r="O89" s="828"/>
      <c r="P89" s="828"/>
      <c r="Q89" s="828"/>
      <c r="R89" s="828"/>
      <c r="S89" s="826" t="s">
        <v>1922</v>
      </c>
      <c r="T89" s="826" t="s">
        <v>1923</v>
      </c>
      <c r="U89" s="826" t="s">
        <v>1924</v>
      </c>
    </row>
    <row r="90" spans="1:21" ht="16.5" outlineLevel="1">
      <c r="A90" s="1518"/>
      <c r="B90" s="876" t="s">
        <v>1931</v>
      </c>
      <c r="C90" s="834" t="s">
        <v>1921</v>
      </c>
      <c r="D90" s="823">
        <f t="shared" si="11"/>
        <v>0</v>
      </c>
      <c r="E90" s="827"/>
      <c r="F90" s="827"/>
      <c r="G90" s="825">
        <v>1</v>
      </c>
      <c r="H90" s="828" t="s">
        <v>1928</v>
      </c>
      <c r="I90" s="828"/>
      <c r="J90" s="828"/>
      <c r="K90" s="828"/>
      <c r="L90" s="828"/>
      <c r="M90" s="828"/>
      <c r="N90" s="828"/>
      <c r="O90" s="828"/>
      <c r="P90" s="828"/>
      <c r="Q90" s="828"/>
      <c r="R90" s="828"/>
      <c r="S90" s="826" t="s">
        <v>1922</v>
      </c>
      <c r="T90" s="826" t="s">
        <v>1923</v>
      </c>
      <c r="U90" s="826" t="s">
        <v>1924</v>
      </c>
    </row>
    <row r="91" spans="1:21" ht="16.5" outlineLevel="1">
      <c r="A91" s="1518"/>
      <c r="B91" s="876" t="s">
        <v>1932</v>
      </c>
      <c r="C91" s="834" t="s">
        <v>1921</v>
      </c>
      <c r="D91" s="823">
        <f t="shared" si="11"/>
        <v>26</v>
      </c>
      <c r="E91" s="823">
        <f>'OR15-准备金再保险'!M23</f>
        <v>26</v>
      </c>
      <c r="F91" s="827"/>
      <c r="G91" s="825">
        <v>1</v>
      </c>
      <c r="H91" s="828" t="s">
        <v>1928</v>
      </c>
      <c r="I91" s="828"/>
      <c r="J91" s="828"/>
      <c r="K91" s="828"/>
      <c r="L91" s="828"/>
      <c r="M91" s="828"/>
      <c r="N91" s="828"/>
      <c r="O91" s="828"/>
      <c r="P91" s="828"/>
      <c r="Q91" s="828"/>
      <c r="R91" s="828"/>
      <c r="S91" s="877" t="s">
        <v>1933</v>
      </c>
      <c r="T91" s="826" t="s">
        <v>1922</v>
      </c>
      <c r="U91" s="826" t="s">
        <v>1923</v>
      </c>
    </row>
    <row r="92" spans="1:21" ht="16.5" outlineLevel="1">
      <c r="A92" s="1518"/>
      <c r="B92" s="876" t="s">
        <v>1934</v>
      </c>
      <c r="C92" s="834" t="s">
        <v>1921</v>
      </c>
      <c r="D92" s="823">
        <f t="shared" si="11"/>
        <v>0</v>
      </c>
      <c r="E92" s="827"/>
      <c r="F92" s="827"/>
      <c r="G92" s="825">
        <v>1</v>
      </c>
      <c r="H92" s="828" t="s">
        <v>1928</v>
      </c>
      <c r="I92" s="828"/>
      <c r="J92" s="828"/>
      <c r="K92" s="828"/>
      <c r="L92" s="828"/>
      <c r="M92" s="828"/>
      <c r="N92" s="828"/>
      <c r="O92" s="828"/>
      <c r="P92" s="828"/>
      <c r="Q92" s="828"/>
      <c r="R92" s="828"/>
      <c r="S92" s="826" t="s">
        <v>1922</v>
      </c>
      <c r="T92" s="826" t="s">
        <v>1923</v>
      </c>
      <c r="U92" s="826" t="s">
        <v>1924</v>
      </c>
    </row>
    <row r="93" spans="1:21" ht="16.5" outlineLevel="1">
      <c r="A93" s="1518"/>
      <c r="B93" s="876" t="s">
        <v>1935</v>
      </c>
      <c r="C93" s="834" t="s">
        <v>1921</v>
      </c>
      <c r="D93" s="823">
        <f t="shared" si="11"/>
        <v>21</v>
      </c>
      <c r="E93" s="823">
        <f>案件管理!J26</f>
        <v>21</v>
      </c>
      <c r="F93" s="827"/>
      <c r="G93" s="825">
        <v>1</v>
      </c>
      <c r="H93" s="828" t="s">
        <v>1928</v>
      </c>
      <c r="I93" s="828"/>
      <c r="J93" s="828"/>
      <c r="K93" s="828"/>
      <c r="L93" s="828"/>
      <c r="M93" s="828"/>
      <c r="N93" s="828"/>
      <c r="O93" s="828"/>
      <c r="P93" s="828"/>
      <c r="Q93" s="828"/>
      <c r="R93" s="828"/>
      <c r="S93" s="826" t="s">
        <v>1922</v>
      </c>
      <c r="T93" s="826" t="s">
        <v>1923</v>
      </c>
      <c r="U93" s="826" t="s">
        <v>1924</v>
      </c>
    </row>
    <row r="94" spans="1:21" ht="16.5" outlineLevel="1">
      <c r="A94" s="1519"/>
      <c r="B94" s="878" t="s">
        <v>1993</v>
      </c>
      <c r="C94" s="834" t="s">
        <v>1937</v>
      </c>
      <c r="D94" s="823">
        <f>(SUM(D85:D93)+D91)/9</f>
        <v>13.544444444444444</v>
      </c>
      <c r="E94" s="827"/>
      <c r="F94" s="827"/>
      <c r="G94" s="825">
        <v>1</v>
      </c>
      <c r="H94" s="828" t="s">
        <v>1928</v>
      </c>
      <c r="I94" s="828"/>
      <c r="J94" s="828"/>
      <c r="K94" s="828"/>
      <c r="L94" s="828"/>
      <c r="M94" s="828"/>
      <c r="N94" s="828"/>
      <c r="O94" s="828"/>
      <c r="P94" s="828"/>
      <c r="Q94" s="828"/>
      <c r="R94" s="828"/>
      <c r="S94" s="826" t="s">
        <v>1938</v>
      </c>
      <c r="T94" s="825">
        <v>0.5</v>
      </c>
      <c r="U94" s="825">
        <v>0.25</v>
      </c>
    </row>
    <row r="95" spans="1:21" ht="16.5" outlineLevel="1">
      <c r="A95" s="1513" t="s">
        <v>1939</v>
      </c>
      <c r="B95" s="1514"/>
      <c r="C95" s="834" t="s">
        <v>1937</v>
      </c>
      <c r="D95" s="823">
        <v>0</v>
      </c>
      <c r="E95" s="827"/>
      <c r="F95" s="827"/>
      <c r="G95" s="825">
        <v>1</v>
      </c>
      <c r="H95" s="828" t="s">
        <v>1928</v>
      </c>
      <c r="I95" s="828"/>
      <c r="J95" s="828"/>
      <c r="K95" s="828"/>
      <c r="L95" s="828"/>
      <c r="M95" s="828"/>
      <c r="N95" s="828"/>
      <c r="O95" s="828"/>
      <c r="P95" s="828"/>
      <c r="Q95" s="828"/>
      <c r="R95" s="828"/>
      <c r="S95" s="825" t="s">
        <v>1928</v>
      </c>
      <c r="T95" s="825">
        <v>0.15</v>
      </c>
      <c r="U95" s="829">
        <v>7.4999999999999997E-2</v>
      </c>
    </row>
    <row r="96" spans="1:21" ht="16.5" outlineLevel="1">
      <c r="A96" s="1513" t="s">
        <v>1940</v>
      </c>
      <c r="B96" s="1514"/>
      <c r="C96" s="834" t="s">
        <v>1937</v>
      </c>
      <c r="D96" s="823">
        <v>0</v>
      </c>
      <c r="E96" s="827"/>
      <c r="F96" s="827"/>
      <c r="G96" s="825">
        <v>1</v>
      </c>
      <c r="H96" s="825" t="s">
        <v>1928</v>
      </c>
      <c r="I96" s="825"/>
      <c r="J96" s="825"/>
      <c r="K96" s="825"/>
      <c r="L96" s="825"/>
      <c r="M96" s="825"/>
      <c r="N96" s="825"/>
      <c r="O96" s="825"/>
      <c r="P96" s="825"/>
      <c r="Q96" s="825"/>
      <c r="R96" s="825"/>
      <c r="S96" s="825" t="s">
        <v>1928</v>
      </c>
      <c r="T96" s="825">
        <v>0.1</v>
      </c>
      <c r="U96" s="825">
        <v>0.05</v>
      </c>
    </row>
    <row r="97" spans="1:21" ht="16.5" outlineLevel="1">
      <c r="A97" s="1513" t="s">
        <v>1941</v>
      </c>
      <c r="B97" s="1514"/>
      <c r="C97" s="779" t="s">
        <v>1937</v>
      </c>
      <c r="D97" s="823">
        <v>0</v>
      </c>
      <c r="E97" s="827"/>
      <c r="F97" s="827"/>
      <c r="G97" s="825">
        <v>1</v>
      </c>
      <c r="H97" s="828" t="s">
        <v>1928</v>
      </c>
      <c r="I97" s="828"/>
      <c r="J97" s="828"/>
      <c r="K97" s="828"/>
      <c r="L97" s="828"/>
      <c r="M97" s="828"/>
      <c r="N97" s="828"/>
      <c r="O97" s="828"/>
      <c r="P97" s="828"/>
      <c r="Q97" s="828"/>
      <c r="R97" s="828"/>
      <c r="S97" s="825" t="s">
        <v>1928</v>
      </c>
      <c r="T97" s="825">
        <v>0.25</v>
      </c>
      <c r="U97" s="829">
        <v>0.125</v>
      </c>
    </row>
    <row r="98" spans="1:21" ht="16.5" outlineLevel="1">
      <c r="A98" s="1511" t="s">
        <v>1990</v>
      </c>
      <c r="B98" s="1511"/>
      <c r="C98" s="834" t="s">
        <v>1942</v>
      </c>
      <c r="D98" s="823">
        <f>D94*T94+D95*T95+D96*T96+D97*T97</f>
        <v>6.7722222222222221</v>
      </c>
      <c r="E98" s="827"/>
      <c r="F98" s="827"/>
      <c r="G98" s="825">
        <v>1</v>
      </c>
      <c r="H98" s="828" t="s">
        <v>1928</v>
      </c>
      <c r="I98" s="828"/>
      <c r="J98" s="828"/>
      <c r="K98" s="828"/>
      <c r="L98" s="828"/>
      <c r="M98" s="828"/>
      <c r="N98" s="828"/>
      <c r="O98" s="828"/>
      <c r="P98" s="828"/>
      <c r="Q98" s="828"/>
      <c r="R98" s="828"/>
      <c r="S98" s="825" t="s">
        <v>1928</v>
      </c>
      <c r="T98" s="825">
        <v>1</v>
      </c>
      <c r="U98" s="825">
        <v>0.5</v>
      </c>
    </row>
    <row r="99" spans="1:21" ht="16.5" outlineLevel="1">
      <c r="A99" s="1515" t="s">
        <v>1943</v>
      </c>
      <c r="B99" s="1515"/>
      <c r="C99" s="834" t="s">
        <v>1942</v>
      </c>
      <c r="D99" s="823">
        <v>0</v>
      </c>
      <c r="E99" s="827"/>
      <c r="F99" s="827"/>
      <c r="G99" s="825">
        <v>1</v>
      </c>
      <c r="H99" s="828" t="s">
        <v>1928</v>
      </c>
      <c r="I99" s="828"/>
      <c r="J99" s="828"/>
      <c r="K99" s="828"/>
      <c r="L99" s="828"/>
      <c r="M99" s="828"/>
      <c r="N99" s="828"/>
      <c r="O99" s="828"/>
      <c r="P99" s="828"/>
      <c r="Q99" s="828"/>
      <c r="R99" s="828"/>
      <c r="S99" s="825" t="s">
        <v>1928</v>
      </c>
      <c r="T99" s="828" t="s">
        <v>1928</v>
      </c>
      <c r="U99" s="825">
        <v>0.5</v>
      </c>
    </row>
    <row r="100" spans="1:21" ht="16.5" outlineLevel="1">
      <c r="A100" s="1511" t="s">
        <v>1944</v>
      </c>
      <c r="B100" s="1511"/>
      <c r="C100" s="834" t="s">
        <v>1945</v>
      </c>
      <c r="D100" s="823">
        <f>D98*U98+D99*U99</f>
        <v>3.3861111111111111</v>
      </c>
      <c r="E100" s="827"/>
      <c r="F100" s="827"/>
      <c r="G100" s="828" t="s">
        <v>1928</v>
      </c>
      <c r="H100" s="828" t="s">
        <v>1928</v>
      </c>
      <c r="I100" s="828"/>
      <c r="J100" s="828"/>
      <c r="K100" s="828"/>
      <c r="L100" s="828"/>
      <c r="M100" s="828"/>
      <c r="N100" s="828"/>
      <c r="O100" s="828"/>
      <c r="P100" s="828"/>
      <c r="Q100" s="828"/>
      <c r="R100" s="828"/>
      <c r="S100" s="825" t="s">
        <v>1928</v>
      </c>
      <c r="T100" s="828" t="s">
        <v>1928</v>
      </c>
      <c r="U100" s="825">
        <v>1</v>
      </c>
    </row>
    <row r="102" spans="1:21">
      <c r="A102" s="1517" t="s">
        <v>1997</v>
      </c>
      <c r="B102" s="1517"/>
      <c r="D102" s="972">
        <f>D120</f>
        <v>1.7472222222222222</v>
      </c>
    </row>
    <row r="103" spans="1:21" ht="16.149999999999999" customHeight="1" outlineLevel="1">
      <c r="A103" s="1522" t="s">
        <v>1965</v>
      </c>
      <c r="B103" s="1522"/>
      <c r="C103" s="1520" t="s">
        <v>1966</v>
      </c>
      <c r="D103" s="1521" t="s">
        <v>1967</v>
      </c>
      <c r="E103" s="1520" t="s">
        <v>1968</v>
      </c>
      <c r="F103" s="1520" t="s">
        <v>1969</v>
      </c>
      <c r="G103" s="1516" t="s">
        <v>1970</v>
      </c>
      <c r="H103" s="1516"/>
      <c r="I103" s="874"/>
      <c r="J103" s="874"/>
      <c r="K103" s="874"/>
      <c r="L103" s="874"/>
      <c r="M103" s="874"/>
      <c r="N103" s="874"/>
      <c r="O103" s="874"/>
      <c r="P103" s="874"/>
      <c r="Q103" s="874"/>
      <c r="R103" s="874"/>
      <c r="S103" s="1516" t="s">
        <v>1971</v>
      </c>
      <c r="T103" s="1516" t="s">
        <v>1972</v>
      </c>
      <c r="U103" s="1516" t="s">
        <v>1973</v>
      </c>
    </row>
    <row r="104" spans="1:21" ht="15" customHeight="1" outlineLevel="1">
      <c r="A104" s="1523"/>
      <c r="B104" s="1523"/>
      <c r="C104" s="1520"/>
      <c r="D104" s="1516"/>
      <c r="E104" s="1520"/>
      <c r="F104" s="1520"/>
      <c r="G104" s="874" t="s">
        <v>1974</v>
      </c>
      <c r="H104" s="874" t="s">
        <v>1975</v>
      </c>
      <c r="I104" s="874" t="s">
        <v>1976</v>
      </c>
      <c r="J104" s="874" t="s">
        <v>1977</v>
      </c>
      <c r="K104" s="874" t="s">
        <v>1978</v>
      </c>
      <c r="L104" s="874" t="s">
        <v>1979</v>
      </c>
      <c r="M104" s="874" t="s">
        <v>1980</v>
      </c>
      <c r="N104" s="874" t="s">
        <v>1981</v>
      </c>
      <c r="O104" s="874" t="s">
        <v>1982</v>
      </c>
      <c r="P104" s="874" t="s">
        <v>1983</v>
      </c>
      <c r="Q104" s="874" t="s">
        <v>1984</v>
      </c>
      <c r="R104" s="874" t="s">
        <v>1985</v>
      </c>
      <c r="S104" s="1516"/>
      <c r="T104" s="1516"/>
      <c r="U104" s="1516"/>
    </row>
    <row r="105" spans="1:21" ht="16.5" outlineLevel="1">
      <c r="A105" s="1518" t="s">
        <v>1919</v>
      </c>
      <c r="B105" s="875" t="s">
        <v>1920</v>
      </c>
      <c r="C105" s="835" t="s">
        <v>1921</v>
      </c>
      <c r="D105" s="870">
        <f>E105*G105+F105*H105</f>
        <v>7.9</v>
      </c>
      <c r="E105" s="870">
        <v>3</v>
      </c>
      <c r="F105" s="870">
        <f>AVERAGE(I105:R105)</f>
        <v>10</v>
      </c>
      <c r="G105" s="872">
        <v>0.3</v>
      </c>
      <c r="H105" s="872">
        <v>0.7</v>
      </c>
      <c r="I105" s="871">
        <v>10</v>
      </c>
      <c r="J105" s="871">
        <v>10</v>
      </c>
      <c r="K105" s="871">
        <v>10</v>
      </c>
      <c r="L105" s="871">
        <v>10</v>
      </c>
      <c r="M105" s="871">
        <v>10</v>
      </c>
      <c r="N105" s="871">
        <v>10</v>
      </c>
      <c r="O105" s="871">
        <v>10</v>
      </c>
      <c r="P105" s="871">
        <v>10</v>
      </c>
      <c r="Q105" s="871">
        <v>10</v>
      </c>
      <c r="R105" s="871">
        <v>10</v>
      </c>
      <c r="S105" s="873" t="s">
        <v>1998</v>
      </c>
      <c r="T105" s="873" t="s">
        <v>1999</v>
      </c>
      <c r="U105" s="873" t="s">
        <v>2000</v>
      </c>
    </row>
    <row r="106" spans="1:21" ht="16.5" outlineLevel="1">
      <c r="A106" s="1518"/>
      <c r="B106" s="876" t="s">
        <v>1925</v>
      </c>
      <c r="C106" s="834" t="s">
        <v>1921</v>
      </c>
      <c r="D106" s="823">
        <f>E106*G106+F106*H106</f>
        <v>7</v>
      </c>
      <c r="E106" s="827"/>
      <c r="F106" s="823">
        <f>AVERAGE(I106:R106)</f>
        <v>10</v>
      </c>
      <c r="G106" s="825">
        <v>0.3</v>
      </c>
      <c r="H106" s="825">
        <v>0.7</v>
      </c>
      <c r="I106" s="824">
        <v>10</v>
      </c>
      <c r="J106" s="824">
        <v>10</v>
      </c>
      <c r="K106" s="824">
        <v>10</v>
      </c>
      <c r="L106" s="824">
        <v>10</v>
      </c>
      <c r="M106" s="824">
        <v>10</v>
      </c>
      <c r="N106" s="824">
        <v>10</v>
      </c>
      <c r="O106" s="824">
        <v>10</v>
      </c>
      <c r="P106" s="824">
        <v>10</v>
      </c>
      <c r="Q106" s="824">
        <v>10</v>
      </c>
      <c r="R106" s="824">
        <v>10</v>
      </c>
      <c r="S106" s="826" t="s">
        <v>1998</v>
      </c>
      <c r="T106" s="826" t="s">
        <v>1999</v>
      </c>
      <c r="U106" s="826" t="s">
        <v>2000</v>
      </c>
    </row>
    <row r="107" spans="1:21" ht="16.5" outlineLevel="1">
      <c r="A107" s="1518"/>
      <c r="B107" s="876" t="s">
        <v>1926</v>
      </c>
      <c r="C107" s="834" t="s">
        <v>1921</v>
      </c>
      <c r="D107" s="823">
        <f>E107*G107+F107*H107</f>
        <v>10</v>
      </c>
      <c r="E107" s="823">
        <v>10</v>
      </c>
      <c r="F107" s="823">
        <f>AVERAGE(I107:R107)</f>
        <v>10</v>
      </c>
      <c r="G107" s="825">
        <v>0.6</v>
      </c>
      <c r="H107" s="825">
        <v>0.4</v>
      </c>
      <c r="I107" s="824">
        <v>10</v>
      </c>
      <c r="J107" s="824">
        <v>10</v>
      </c>
      <c r="K107" s="824">
        <v>10</v>
      </c>
      <c r="L107" s="824">
        <v>10</v>
      </c>
      <c r="M107" s="824">
        <v>10</v>
      </c>
      <c r="N107" s="824">
        <v>10</v>
      </c>
      <c r="O107" s="824">
        <v>10</v>
      </c>
      <c r="P107" s="824">
        <v>10</v>
      </c>
      <c r="Q107" s="824">
        <v>10</v>
      </c>
      <c r="R107" s="824">
        <v>10</v>
      </c>
      <c r="S107" s="826" t="s">
        <v>1998</v>
      </c>
      <c r="T107" s="826" t="s">
        <v>1999</v>
      </c>
      <c r="U107" s="826" t="s">
        <v>2000</v>
      </c>
    </row>
    <row r="108" spans="1:21" ht="16.5" outlineLevel="1">
      <c r="A108" s="1518"/>
      <c r="B108" s="876" t="s">
        <v>1927</v>
      </c>
      <c r="C108" s="834" t="s">
        <v>1921</v>
      </c>
      <c r="D108" s="823">
        <f t="shared" ref="D108:D119" si="12">E108</f>
        <v>20</v>
      </c>
      <c r="E108" s="823">
        <v>20</v>
      </c>
      <c r="F108" s="827"/>
      <c r="G108" s="825">
        <v>1</v>
      </c>
      <c r="H108" s="828" t="s">
        <v>2001</v>
      </c>
      <c r="I108" s="828"/>
      <c r="J108" s="828"/>
      <c r="K108" s="828"/>
      <c r="L108" s="828"/>
      <c r="M108" s="828"/>
      <c r="N108" s="828"/>
      <c r="O108" s="828"/>
      <c r="P108" s="828"/>
      <c r="Q108" s="828"/>
      <c r="R108" s="828"/>
      <c r="S108" s="826" t="s">
        <v>1998</v>
      </c>
      <c r="T108" s="826" t="s">
        <v>1999</v>
      </c>
      <c r="U108" s="826" t="s">
        <v>2000</v>
      </c>
    </row>
    <row r="109" spans="1:21" ht="16.5" outlineLevel="1">
      <c r="A109" s="1518"/>
      <c r="B109" s="876" t="s">
        <v>1929</v>
      </c>
      <c r="C109" s="834" t="s">
        <v>1921</v>
      </c>
      <c r="D109" s="823">
        <f t="shared" si="12"/>
        <v>0</v>
      </c>
      <c r="E109" s="827"/>
      <c r="F109" s="827"/>
      <c r="G109" s="825">
        <v>1</v>
      </c>
      <c r="H109" s="828" t="s">
        <v>2001</v>
      </c>
      <c r="I109" s="828"/>
      <c r="J109" s="828"/>
      <c r="K109" s="828"/>
      <c r="L109" s="828"/>
      <c r="M109" s="828"/>
      <c r="N109" s="828"/>
      <c r="O109" s="828"/>
      <c r="P109" s="828"/>
      <c r="Q109" s="828"/>
      <c r="R109" s="828"/>
      <c r="S109" s="826" t="s">
        <v>1998</v>
      </c>
      <c r="T109" s="826" t="s">
        <v>1999</v>
      </c>
      <c r="U109" s="826" t="s">
        <v>2000</v>
      </c>
    </row>
    <row r="110" spans="1:21" ht="16.5" outlineLevel="1">
      <c r="A110" s="1518"/>
      <c r="B110" s="876" t="s">
        <v>1931</v>
      </c>
      <c r="C110" s="834" t="s">
        <v>1921</v>
      </c>
      <c r="D110" s="823">
        <f t="shared" si="12"/>
        <v>0</v>
      </c>
      <c r="E110" s="827"/>
      <c r="F110" s="827"/>
      <c r="G110" s="825">
        <v>1</v>
      </c>
      <c r="H110" s="828" t="s">
        <v>2001</v>
      </c>
      <c r="I110" s="828"/>
      <c r="J110" s="828"/>
      <c r="K110" s="828"/>
      <c r="L110" s="828"/>
      <c r="M110" s="828"/>
      <c r="N110" s="828"/>
      <c r="O110" s="828"/>
      <c r="P110" s="828"/>
      <c r="Q110" s="828"/>
      <c r="R110" s="828"/>
      <c r="S110" s="826" t="s">
        <v>1998</v>
      </c>
      <c r="T110" s="826" t="s">
        <v>1999</v>
      </c>
      <c r="U110" s="826" t="s">
        <v>2000</v>
      </c>
    </row>
    <row r="111" spans="1:21" ht="16.5" outlineLevel="1">
      <c r="A111" s="1518"/>
      <c r="B111" s="876" t="s">
        <v>1932</v>
      </c>
      <c r="C111" s="834" t="s">
        <v>1921</v>
      </c>
      <c r="D111" s="823">
        <f t="shared" si="12"/>
        <v>0</v>
      </c>
      <c r="E111" s="827"/>
      <c r="F111" s="827"/>
      <c r="G111" s="825">
        <v>1</v>
      </c>
      <c r="H111" s="828" t="s">
        <v>2001</v>
      </c>
      <c r="I111" s="828"/>
      <c r="J111" s="828"/>
      <c r="K111" s="828"/>
      <c r="L111" s="828"/>
      <c r="M111" s="828"/>
      <c r="N111" s="828"/>
      <c r="O111" s="828"/>
      <c r="P111" s="828"/>
      <c r="Q111" s="828"/>
      <c r="R111" s="828"/>
      <c r="S111" s="877" t="s">
        <v>2002</v>
      </c>
      <c r="T111" s="826" t="s">
        <v>1998</v>
      </c>
      <c r="U111" s="826" t="s">
        <v>1999</v>
      </c>
    </row>
    <row r="112" spans="1:21" ht="16.5" outlineLevel="1">
      <c r="A112" s="1518"/>
      <c r="B112" s="876" t="s">
        <v>1934</v>
      </c>
      <c r="C112" s="834" t="s">
        <v>1921</v>
      </c>
      <c r="D112" s="823">
        <f t="shared" si="12"/>
        <v>0</v>
      </c>
      <c r="E112" s="827"/>
      <c r="F112" s="827"/>
      <c r="G112" s="825">
        <v>1</v>
      </c>
      <c r="H112" s="828" t="s">
        <v>2001</v>
      </c>
      <c r="I112" s="828"/>
      <c r="J112" s="828"/>
      <c r="K112" s="828"/>
      <c r="L112" s="828"/>
      <c r="M112" s="828"/>
      <c r="N112" s="828"/>
      <c r="O112" s="828"/>
      <c r="P112" s="828"/>
      <c r="Q112" s="828"/>
      <c r="R112" s="828"/>
      <c r="S112" s="826" t="s">
        <v>1998</v>
      </c>
      <c r="T112" s="826" t="s">
        <v>1999</v>
      </c>
      <c r="U112" s="826" t="s">
        <v>2000</v>
      </c>
    </row>
    <row r="113" spans="1:21" ht="16.5" outlineLevel="1">
      <c r="A113" s="1518"/>
      <c r="B113" s="876" t="s">
        <v>1935</v>
      </c>
      <c r="C113" s="834" t="s">
        <v>1921</v>
      </c>
      <c r="D113" s="823">
        <f t="shared" si="12"/>
        <v>0</v>
      </c>
      <c r="E113" s="827"/>
      <c r="F113" s="827"/>
      <c r="G113" s="825">
        <v>1</v>
      </c>
      <c r="H113" s="828" t="s">
        <v>2001</v>
      </c>
      <c r="I113" s="828"/>
      <c r="J113" s="828"/>
      <c r="K113" s="828"/>
      <c r="L113" s="828"/>
      <c r="M113" s="828"/>
      <c r="N113" s="828"/>
      <c r="O113" s="828"/>
      <c r="P113" s="828"/>
      <c r="Q113" s="828"/>
      <c r="R113" s="828"/>
      <c r="S113" s="826" t="s">
        <v>1998</v>
      </c>
      <c r="T113" s="826" t="s">
        <v>1999</v>
      </c>
      <c r="U113" s="826" t="s">
        <v>2000</v>
      </c>
    </row>
    <row r="114" spans="1:21" ht="16.5" outlineLevel="1">
      <c r="A114" s="1519"/>
      <c r="B114" s="878" t="s">
        <v>1993</v>
      </c>
      <c r="C114" s="834" t="s">
        <v>1937</v>
      </c>
      <c r="D114" s="823">
        <f>(SUM(D105:D113)+D111)/9</f>
        <v>4.9888888888888889</v>
      </c>
      <c r="E114" s="827"/>
      <c r="F114" s="827"/>
      <c r="G114" s="825">
        <v>1</v>
      </c>
      <c r="H114" s="828" t="s">
        <v>2001</v>
      </c>
      <c r="I114" s="828"/>
      <c r="J114" s="828"/>
      <c r="K114" s="828"/>
      <c r="L114" s="828"/>
      <c r="M114" s="828"/>
      <c r="N114" s="828"/>
      <c r="O114" s="828"/>
      <c r="P114" s="828"/>
      <c r="Q114" s="828"/>
      <c r="R114" s="828"/>
      <c r="S114" s="826" t="s">
        <v>2003</v>
      </c>
      <c r="T114" s="825">
        <v>0.5</v>
      </c>
      <c r="U114" s="825">
        <v>0.25</v>
      </c>
    </row>
    <row r="115" spans="1:21" ht="16.5" outlineLevel="1">
      <c r="A115" s="1513" t="s">
        <v>1939</v>
      </c>
      <c r="B115" s="1514"/>
      <c r="C115" s="834" t="s">
        <v>1937</v>
      </c>
      <c r="D115" s="823">
        <f t="shared" si="12"/>
        <v>0</v>
      </c>
      <c r="E115" s="827"/>
      <c r="F115" s="827"/>
      <c r="G115" s="825">
        <v>1</v>
      </c>
      <c r="H115" s="828" t="s">
        <v>2001</v>
      </c>
      <c r="I115" s="828"/>
      <c r="J115" s="828"/>
      <c r="K115" s="828"/>
      <c r="L115" s="828"/>
      <c r="M115" s="828"/>
      <c r="N115" s="828"/>
      <c r="O115" s="828"/>
      <c r="P115" s="828"/>
      <c r="Q115" s="828"/>
      <c r="R115" s="828"/>
      <c r="S115" s="825" t="s">
        <v>2001</v>
      </c>
      <c r="T115" s="825">
        <v>0.15</v>
      </c>
      <c r="U115" s="829">
        <v>7.4999999999999997E-2</v>
      </c>
    </row>
    <row r="116" spans="1:21" ht="16.5" outlineLevel="1">
      <c r="A116" s="1513" t="s">
        <v>1940</v>
      </c>
      <c r="B116" s="1514"/>
      <c r="C116" s="834" t="s">
        <v>1937</v>
      </c>
      <c r="D116" s="823">
        <v>10</v>
      </c>
      <c r="E116" s="827"/>
      <c r="F116" s="827"/>
      <c r="G116" s="825">
        <v>1</v>
      </c>
      <c r="H116" s="825" t="s">
        <v>2001</v>
      </c>
      <c r="I116" s="828"/>
      <c r="J116" s="828"/>
      <c r="K116" s="828"/>
      <c r="L116" s="828"/>
      <c r="M116" s="828"/>
      <c r="N116" s="828"/>
      <c r="O116" s="828"/>
      <c r="P116" s="828"/>
      <c r="Q116" s="828"/>
      <c r="R116" s="828"/>
      <c r="S116" s="825" t="s">
        <v>2001</v>
      </c>
      <c r="T116" s="825">
        <v>0.1</v>
      </c>
      <c r="U116" s="825">
        <v>0.05</v>
      </c>
    </row>
    <row r="117" spans="1:21" ht="16.5" outlineLevel="1">
      <c r="A117" s="1513" t="s">
        <v>1941</v>
      </c>
      <c r="B117" s="1514"/>
      <c r="C117" s="779" t="s">
        <v>1937</v>
      </c>
      <c r="D117" s="823">
        <f t="shared" si="12"/>
        <v>0</v>
      </c>
      <c r="E117" s="827"/>
      <c r="F117" s="827"/>
      <c r="G117" s="825">
        <v>1</v>
      </c>
      <c r="H117" s="828" t="s">
        <v>2001</v>
      </c>
      <c r="I117" s="828"/>
      <c r="J117" s="828"/>
      <c r="K117" s="828"/>
      <c r="L117" s="828"/>
      <c r="M117" s="828"/>
      <c r="N117" s="828"/>
      <c r="O117" s="828"/>
      <c r="P117" s="828"/>
      <c r="Q117" s="828"/>
      <c r="R117" s="828"/>
      <c r="S117" s="825" t="s">
        <v>2001</v>
      </c>
      <c r="T117" s="825">
        <v>0.25</v>
      </c>
      <c r="U117" s="829">
        <v>0.125</v>
      </c>
    </row>
    <row r="118" spans="1:21" ht="16.5" outlineLevel="1">
      <c r="A118" s="1511" t="s">
        <v>1990</v>
      </c>
      <c r="B118" s="1511"/>
      <c r="C118" s="834" t="s">
        <v>1942</v>
      </c>
      <c r="D118" s="823">
        <f>D114*T114+D115*T115+D116*T116+D117*T117</f>
        <v>3.4944444444444445</v>
      </c>
      <c r="E118" s="827"/>
      <c r="F118" s="827"/>
      <c r="G118" s="825">
        <v>1</v>
      </c>
      <c r="H118" s="828" t="s">
        <v>2001</v>
      </c>
      <c r="I118" s="828"/>
      <c r="J118" s="828"/>
      <c r="K118" s="828"/>
      <c r="L118" s="828"/>
      <c r="M118" s="828"/>
      <c r="N118" s="828"/>
      <c r="O118" s="828"/>
      <c r="P118" s="828"/>
      <c r="Q118" s="828"/>
      <c r="R118" s="828"/>
      <c r="S118" s="825" t="s">
        <v>2001</v>
      </c>
      <c r="T118" s="825">
        <v>1</v>
      </c>
      <c r="U118" s="825">
        <v>0.5</v>
      </c>
    </row>
    <row r="119" spans="1:21" ht="16.5" outlineLevel="1">
      <c r="A119" s="1515" t="s">
        <v>1943</v>
      </c>
      <c r="B119" s="1515"/>
      <c r="C119" s="834" t="s">
        <v>1942</v>
      </c>
      <c r="D119" s="823">
        <f t="shared" si="12"/>
        <v>0</v>
      </c>
      <c r="E119" s="827"/>
      <c r="F119" s="827"/>
      <c r="G119" s="825">
        <v>1</v>
      </c>
      <c r="H119" s="828" t="s">
        <v>2001</v>
      </c>
      <c r="I119" s="828"/>
      <c r="J119" s="828"/>
      <c r="K119" s="828"/>
      <c r="L119" s="828"/>
      <c r="M119" s="828"/>
      <c r="N119" s="828"/>
      <c r="O119" s="828"/>
      <c r="P119" s="828"/>
      <c r="Q119" s="828"/>
      <c r="R119" s="828"/>
      <c r="S119" s="825" t="s">
        <v>2001</v>
      </c>
      <c r="T119" s="828" t="s">
        <v>2001</v>
      </c>
      <c r="U119" s="825">
        <v>0.5</v>
      </c>
    </row>
    <row r="120" spans="1:21" ht="16.5" outlineLevel="1">
      <c r="A120" s="1511" t="s">
        <v>1944</v>
      </c>
      <c r="B120" s="1511"/>
      <c r="C120" s="834" t="s">
        <v>1945</v>
      </c>
      <c r="D120" s="823">
        <f>D118*U118+D119*U119</f>
        <v>1.7472222222222222</v>
      </c>
      <c r="E120" s="827"/>
      <c r="F120" s="827"/>
      <c r="G120" s="828" t="s">
        <v>2001</v>
      </c>
      <c r="H120" s="828" t="s">
        <v>2001</v>
      </c>
      <c r="I120" s="828"/>
      <c r="J120" s="828"/>
      <c r="K120" s="828"/>
      <c r="L120" s="828"/>
      <c r="M120" s="828"/>
      <c r="N120" s="828"/>
      <c r="O120" s="828"/>
      <c r="P120" s="828"/>
      <c r="Q120" s="828"/>
      <c r="R120" s="828"/>
      <c r="S120" s="825" t="s">
        <v>2001</v>
      </c>
      <c r="T120" s="828" t="s">
        <v>2001</v>
      </c>
      <c r="U120" s="825">
        <v>1</v>
      </c>
    </row>
    <row r="122" spans="1:21">
      <c r="A122" s="1517" t="s">
        <v>2005</v>
      </c>
      <c r="B122" s="1517"/>
      <c r="D122" s="972">
        <f>D140</f>
        <v>3.3182069387867443</v>
      </c>
    </row>
    <row r="123" spans="1:21" ht="16.149999999999999" customHeight="1" outlineLevel="1">
      <c r="A123" s="1522" t="s">
        <v>1965</v>
      </c>
      <c r="B123" s="1522"/>
      <c r="C123" s="1520" t="s">
        <v>1966</v>
      </c>
      <c r="D123" s="1521" t="s">
        <v>547</v>
      </c>
      <c r="E123" s="1520" t="s">
        <v>2006</v>
      </c>
      <c r="F123" s="1520" t="s">
        <v>2007</v>
      </c>
      <c r="G123" s="1516" t="s">
        <v>1970</v>
      </c>
      <c r="H123" s="1516"/>
      <c r="I123" s="874"/>
      <c r="J123" s="874"/>
      <c r="K123" s="874"/>
      <c r="L123" s="874"/>
      <c r="M123" s="874"/>
      <c r="N123" s="874"/>
      <c r="O123" s="874"/>
      <c r="P123" s="874"/>
      <c r="Q123" s="874"/>
      <c r="R123" s="874"/>
      <c r="S123" s="1516" t="s">
        <v>1971</v>
      </c>
      <c r="T123" s="1516" t="s">
        <v>1972</v>
      </c>
      <c r="U123" s="1516" t="s">
        <v>1973</v>
      </c>
    </row>
    <row r="124" spans="1:21" ht="15" customHeight="1" outlineLevel="1">
      <c r="A124" s="1523"/>
      <c r="B124" s="1523"/>
      <c r="C124" s="1520"/>
      <c r="D124" s="1516"/>
      <c r="E124" s="1520"/>
      <c r="F124" s="1520"/>
      <c r="G124" s="874" t="s">
        <v>1974</v>
      </c>
      <c r="H124" s="874" t="s">
        <v>1975</v>
      </c>
      <c r="I124" s="874" t="s">
        <v>1976</v>
      </c>
      <c r="J124" s="874" t="s">
        <v>1977</v>
      </c>
      <c r="K124" s="874" t="s">
        <v>1978</v>
      </c>
      <c r="L124" s="874" t="s">
        <v>1979</v>
      </c>
      <c r="M124" s="874" t="s">
        <v>1980</v>
      </c>
      <c r="N124" s="874" t="s">
        <v>1981</v>
      </c>
      <c r="O124" s="874" t="s">
        <v>1982</v>
      </c>
      <c r="P124" s="874" t="s">
        <v>1983</v>
      </c>
      <c r="Q124" s="874" t="s">
        <v>1984</v>
      </c>
      <c r="R124" s="874" t="s">
        <v>1985</v>
      </c>
      <c r="S124" s="1516"/>
      <c r="T124" s="1516"/>
      <c r="U124" s="1516"/>
    </row>
    <row r="125" spans="1:21" ht="16.5" outlineLevel="1">
      <c r="A125" s="1518" t="s">
        <v>1919</v>
      </c>
      <c r="B125" s="875" t="s">
        <v>1920</v>
      </c>
      <c r="C125" s="835" t="s">
        <v>1921</v>
      </c>
      <c r="D125" s="1050">
        <f>E125*G125+F125*H125</f>
        <v>5.5354497963227782</v>
      </c>
      <c r="E125" s="870">
        <f>'OR02-销售承保'!U39</f>
        <v>5.5781801690907287</v>
      </c>
      <c r="F125" s="870">
        <f>AVERAGE(I125:R125)</f>
        <v>5.5171367794222288</v>
      </c>
      <c r="G125" s="872">
        <v>0.3</v>
      </c>
      <c r="H125" s="872">
        <v>0.7</v>
      </c>
      <c r="I125" s="871">
        <f>'OR04-分公司销售、承保、保全'!W84</f>
        <v>2.3636363636363598</v>
      </c>
      <c r="J125" s="871">
        <f>'OR04-分公司销售、承保、保全'!AC84</f>
        <v>6.1283185840707972</v>
      </c>
      <c r="K125" s="871">
        <f>'OR04-分公司销售、承保、保全'!AI84</f>
        <v>3.7980132450331041</v>
      </c>
      <c r="L125" s="871">
        <f>'OR04-分公司销售、承保、保全'!AO84</f>
        <v>5.9909090909090992</v>
      </c>
      <c r="M125" s="871">
        <f>'OR04-分公司销售、承保、保全'!AU84</f>
        <v>5.0769230769230802</v>
      </c>
      <c r="N125" s="871">
        <f>'OR04-分公司销售、承保、保全'!BA84</f>
        <v>8.6460674157303288</v>
      </c>
      <c r="O125" s="871">
        <f>'OR04-分公司销售、承保、保全'!BG84</f>
        <v>7.075221238938056</v>
      </c>
      <c r="P125" s="871">
        <f>'OR04-分公司销售、承保、保全'!BM84</f>
        <v>3.9732142857142776</v>
      </c>
      <c r="Q125" s="871">
        <f>'OR04-分公司销售、承保、保全'!BS84</f>
        <v>8.5602409638554207</v>
      </c>
      <c r="R125" s="871">
        <f>'OR04-分公司销售、承保、保全'!BY84</f>
        <v>3.558823529411768</v>
      </c>
      <c r="S125" s="873" t="s">
        <v>1922</v>
      </c>
      <c r="T125" s="873" t="s">
        <v>1923</v>
      </c>
      <c r="U125" s="873" t="s">
        <v>1924</v>
      </c>
    </row>
    <row r="126" spans="1:21" ht="16.5" outlineLevel="1">
      <c r="A126" s="1518"/>
      <c r="B126" s="876" t="s">
        <v>1925</v>
      </c>
      <c r="C126" s="834" t="s">
        <v>1921</v>
      </c>
      <c r="D126" s="823">
        <f>E126*G126+F126*H126</f>
        <v>1.9099999999999997</v>
      </c>
      <c r="E126" s="823">
        <f>'OR06-理赔保全'!P23</f>
        <v>4.5</v>
      </c>
      <c r="F126" s="823">
        <f>AVERAGE(I126:R126)</f>
        <v>0.8</v>
      </c>
      <c r="G126" s="825">
        <v>0.3</v>
      </c>
      <c r="H126" s="825">
        <v>0.7</v>
      </c>
      <c r="I126" s="824">
        <f>'OR08-分公司理赔'!W49</f>
        <v>0</v>
      </c>
      <c r="J126" s="824">
        <f>'OR08-分公司理赔'!AC49</f>
        <v>0</v>
      </c>
      <c r="K126" s="824">
        <f>'OR08-分公司理赔'!AI49</f>
        <v>0</v>
      </c>
      <c r="L126" s="824">
        <f>'OR08-分公司理赔'!AO49</f>
        <v>0</v>
      </c>
      <c r="M126" s="824">
        <f>'OR08-分公司理赔'!AU49</f>
        <v>0</v>
      </c>
      <c r="N126" s="824">
        <f>'OR08-分公司理赔'!BA49</f>
        <v>0</v>
      </c>
      <c r="O126" s="824">
        <f>'OR08-分公司理赔'!BG49</f>
        <v>5</v>
      </c>
      <c r="P126" s="824">
        <f>'OR08-分公司理赔'!BM49</f>
        <v>0</v>
      </c>
      <c r="Q126" s="824">
        <f>'OR08-分公司理赔'!BS49</f>
        <v>3</v>
      </c>
      <c r="R126" s="824">
        <f>'OR08-分公司理赔'!BY49</f>
        <v>0</v>
      </c>
      <c r="S126" s="826" t="s">
        <v>1922</v>
      </c>
      <c r="T126" s="826" t="s">
        <v>1923</v>
      </c>
      <c r="U126" s="826" t="s">
        <v>1924</v>
      </c>
    </row>
    <row r="127" spans="1:21" ht="16.5" outlineLevel="1">
      <c r="A127" s="1518"/>
      <c r="B127" s="876" t="s">
        <v>1926</v>
      </c>
      <c r="C127" s="834" t="s">
        <v>1921</v>
      </c>
      <c r="D127" s="823">
        <f>E127*G127+F127*H127</f>
        <v>7.34</v>
      </c>
      <c r="E127" s="823">
        <f>'OR12-财务管理'!S43</f>
        <v>11</v>
      </c>
      <c r="F127" s="823">
        <f>AVERAGE(I127:R127)</f>
        <v>1.85</v>
      </c>
      <c r="G127" s="825">
        <v>0.6</v>
      </c>
      <c r="H127" s="825">
        <v>0.4</v>
      </c>
      <c r="I127" s="824">
        <f>'OR13-分公司财务管理'!W65</f>
        <v>5</v>
      </c>
      <c r="J127" s="824">
        <f>'OR13-分公司财务管理'!AC65</f>
        <v>4.5</v>
      </c>
      <c r="K127" s="824">
        <f>'OR13-分公司财务管理'!AI65</f>
        <v>2</v>
      </c>
      <c r="L127" s="824">
        <f>'OR13-分公司财务管理'!AO65</f>
        <v>2</v>
      </c>
      <c r="M127" s="824">
        <f>'OR13-分公司财务管理'!AU65</f>
        <v>1</v>
      </c>
      <c r="N127" s="824">
        <f>'OR13-分公司财务管理'!BA65</f>
        <v>0.5</v>
      </c>
      <c r="O127" s="824">
        <f>'OR13-分公司财务管理'!BG65</f>
        <v>2</v>
      </c>
      <c r="P127" s="824">
        <f>'OR13-分公司财务管理'!BM65</f>
        <v>0.5</v>
      </c>
      <c r="Q127" s="824">
        <f>'OR13-分公司财务管理'!BS65</f>
        <v>0.5</v>
      </c>
      <c r="R127" s="824">
        <f>'OR13-分公司财务管理'!BY65</f>
        <v>0.5</v>
      </c>
      <c r="S127" s="826" t="s">
        <v>1922</v>
      </c>
      <c r="T127" s="826" t="s">
        <v>1923</v>
      </c>
      <c r="U127" s="826" t="s">
        <v>1924</v>
      </c>
    </row>
    <row r="128" spans="1:21" ht="16.5" outlineLevel="1">
      <c r="A128" s="1518"/>
      <c r="B128" s="876" t="s">
        <v>1927</v>
      </c>
      <c r="C128" s="834" t="s">
        <v>1921</v>
      </c>
      <c r="D128" s="823">
        <f t="shared" ref="D128:D133" si="13">E128</f>
        <v>0</v>
      </c>
      <c r="E128" s="823">
        <f>'OR10-资金运用'!M66</f>
        <v>0</v>
      </c>
      <c r="F128" s="827"/>
      <c r="G128" s="825">
        <v>1</v>
      </c>
      <c r="H128" s="828" t="s">
        <v>1928</v>
      </c>
      <c r="I128" s="828"/>
      <c r="J128" s="828"/>
      <c r="K128" s="828"/>
      <c r="L128" s="828"/>
      <c r="M128" s="828"/>
      <c r="N128" s="828"/>
      <c r="O128" s="828"/>
      <c r="P128" s="828"/>
      <c r="Q128" s="828"/>
      <c r="R128" s="828"/>
      <c r="S128" s="826" t="s">
        <v>1922</v>
      </c>
      <c r="T128" s="826" t="s">
        <v>1923</v>
      </c>
      <c r="U128" s="826" t="s">
        <v>1924</v>
      </c>
    </row>
    <row r="129" spans="1:21" ht="16.5" outlineLevel="1">
      <c r="A129" s="1518"/>
      <c r="B129" s="876" t="s">
        <v>1929</v>
      </c>
      <c r="C129" s="834" t="s">
        <v>1921</v>
      </c>
      <c r="D129" s="823" t="str">
        <f t="shared" si="13"/>
        <v>无扣分</v>
      </c>
      <c r="E129" s="823" t="s">
        <v>1930</v>
      </c>
      <c r="F129" s="827"/>
      <c r="G129" s="825">
        <v>1</v>
      </c>
      <c r="H129" s="828" t="s">
        <v>1928</v>
      </c>
      <c r="I129" s="828"/>
      <c r="J129" s="828"/>
      <c r="K129" s="828"/>
      <c r="L129" s="828"/>
      <c r="M129" s="828"/>
      <c r="N129" s="828"/>
      <c r="O129" s="828"/>
      <c r="P129" s="828"/>
      <c r="Q129" s="828"/>
      <c r="R129" s="828"/>
      <c r="S129" s="826" t="s">
        <v>1922</v>
      </c>
      <c r="T129" s="826" t="s">
        <v>1923</v>
      </c>
      <c r="U129" s="826" t="s">
        <v>1924</v>
      </c>
    </row>
    <row r="130" spans="1:21" ht="16.5" outlineLevel="1">
      <c r="A130" s="1518"/>
      <c r="B130" s="876" t="s">
        <v>1931</v>
      </c>
      <c r="C130" s="834" t="s">
        <v>1921</v>
      </c>
      <c r="D130" s="823">
        <f>E130</f>
        <v>12</v>
      </c>
      <c r="E130" s="823">
        <f>100-公司治理!H81</f>
        <v>12</v>
      </c>
      <c r="F130" s="827"/>
      <c r="G130" s="825">
        <v>1</v>
      </c>
      <c r="H130" s="828" t="s">
        <v>1928</v>
      </c>
      <c r="I130" s="828"/>
      <c r="J130" s="828"/>
      <c r="K130" s="828"/>
      <c r="L130" s="828"/>
      <c r="M130" s="828"/>
      <c r="N130" s="828"/>
      <c r="O130" s="828"/>
      <c r="P130" s="828"/>
      <c r="Q130" s="828"/>
      <c r="R130" s="828"/>
      <c r="S130" s="826" t="s">
        <v>1922</v>
      </c>
      <c r="T130" s="826" t="s">
        <v>1923</v>
      </c>
      <c r="U130" s="826" t="s">
        <v>1924</v>
      </c>
    </row>
    <row r="131" spans="1:21" ht="16.5" outlineLevel="1">
      <c r="A131" s="1518"/>
      <c r="B131" s="876" t="s">
        <v>1932</v>
      </c>
      <c r="C131" s="834" t="s">
        <v>1921</v>
      </c>
      <c r="D131" s="823">
        <f t="shared" si="13"/>
        <v>4</v>
      </c>
      <c r="E131" s="823">
        <f>'OR15-准备金再保险'!P20</f>
        <v>4</v>
      </c>
      <c r="F131" s="827"/>
      <c r="G131" s="825">
        <v>1</v>
      </c>
      <c r="H131" s="828" t="s">
        <v>1928</v>
      </c>
      <c r="I131" s="828"/>
      <c r="J131" s="828"/>
      <c r="K131" s="828"/>
      <c r="L131" s="828"/>
      <c r="M131" s="828"/>
      <c r="N131" s="828"/>
      <c r="O131" s="828"/>
      <c r="P131" s="828"/>
      <c r="Q131" s="828"/>
      <c r="R131" s="828"/>
      <c r="S131" s="877" t="s">
        <v>1933</v>
      </c>
      <c r="T131" s="826" t="s">
        <v>1922</v>
      </c>
      <c r="U131" s="826" t="s">
        <v>1923</v>
      </c>
    </row>
    <row r="132" spans="1:21" ht="16.5" outlineLevel="1">
      <c r="A132" s="1518"/>
      <c r="B132" s="876" t="s">
        <v>1934</v>
      </c>
      <c r="C132" s="834" t="s">
        <v>1921</v>
      </c>
      <c r="D132" s="823">
        <f t="shared" si="13"/>
        <v>10.570000000000007</v>
      </c>
      <c r="E132" s="823">
        <f>信息系统!K138</f>
        <v>10.570000000000007</v>
      </c>
      <c r="F132" s="827"/>
      <c r="G132" s="825">
        <v>1</v>
      </c>
      <c r="H132" s="828" t="s">
        <v>1928</v>
      </c>
      <c r="I132" s="828"/>
      <c r="J132" s="828"/>
      <c r="K132" s="828"/>
      <c r="L132" s="828"/>
      <c r="M132" s="828"/>
      <c r="N132" s="828"/>
      <c r="O132" s="828"/>
      <c r="P132" s="828"/>
      <c r="Q132" s="828"/>
      <c r="R132" s="828"/>
      <c r="S132" s="826" t="s">
        <v>1922</v>
      </c>
      <c r="T132" s="826" t="s">
        <v>1923</v>
      </c>
      <c r="U132" s="826" t="s">
        <v>1924</v>
      </c>
    </row>
    <row r="133" spans="1:21" ht="16.5" outlineLevel="1">
      <c r="A133" s="1518"/>
      <c r="B133" s="876" t="s">
        <v>1935</v>
      </c>
      <c r="C133" s="834" t="s">
        <v>1921</v>
      </c>
      <c r="D133" s="823">
        <f t="shared" si="13"/>
        <v>2.5</v>
      </c>
      <c r="E133" s="823">
        <f>案件管理!J28</f>
        <v>2.5</v>
      </c>
      <c r="F133" s="827"/>
      <c r="G133" s="825">
        <v>1</v>
      </c>
      <c r="H133" s="828" t="s">
        <v>1928</v>
      </c>
      <c r="I133" s="828"/>
      <c r="J133" s="828"/>
      <c r="K133" s="828"/>
      <c r="L133" s="828"/>
      <c r="M133" s="828"/>
      <c r="N133" s="828"/>
      <c r="O133" s="828"/>
      <c r="P133" s="828"/>
      <c r="Q133" s="828"/>
      <c r="R133" s="828"/>
      <c r="S133" s="826" t="s">
        <v>1922</v>
      </c>
      <c r="T133" s="826" t="s">
        <v>1923</v>
      </c>
      <c r="U133" s="826" t="s">
        <v>1924</v>
      </c>
    </row>
    <row r="134" spans="1:21" ht="16.5" outlineLevel="1">
      <c r="A134" s="1519"/>
      <c r="B134" s="878" t="s">
        <v>1993</v>
      </c>
      <c r="C134" s="834" t="s">
        <v>1937</v>
      </c>
      <c r="D134" s="1051">
        <f>(SUM(D125:D133)+D131)/9</f>
        <v>5.3172721995914207</v>
      </c>
      <c r="E134" s="827"/>
      <c r="F134" s="827"/>
      <c r="G134" s="825">
        <v>1</v>
      </c>
      <c r="H134" s="828" t="s">
        <v>1928</v>
      </c>
      <c r="I134" s="828"/>
      <c r="J134" s="828"/>
      <c r="K134" s="828"/>
      <c r="L134" s="828"/>
      <c r="M134" s="828"/>
      <c r="N134" s="828"/>
      <c r="O134" s="828"/>
      <c r="P134" s="828"/>
      <c r="Q134" s="828"/>
      <c r="R134" s="828"/>
      <c r="S134" s="826" t="s">
        <v>1938</v>
      </c>
      <c r="T134" s="825">
        <v>0.5</v>
      </c>
      <c r="U134" s="825">
        <v>0.25</v>
      </c>
    </row>
    <row r="135" spans="1:21" ht="16.5" outlineLevel="1">
      <c r="A135" s="1513" t="s">
        <v>1939</v>
      </c>
      <c r="B135" s="1514"/>
      <c r="C135" s="834" t="s">
        <v>1937</v>
      </c>
      <c r="D135" s="823">
        <f>100-战略风险!G35</f>
        <v>8</v>
      </c>
      <c r="E135" s="827"/>
      <c r="F135" s="827"/>
      <c r="G135" s="825">
        <v>1</v>
      </c>
      <c r="H135" s="828" t="s">
        <v>1928</v>
      </c>
      <c r="I135" s="828"/>
      <c r="J135" s="828"/>
      <c r="K135" s="828"/>
      <c r="L135" s="828"/>
      <c r="M135" s="828"/>
      <c r="N135" s="828"/>
      <c r="O135" s="828"/>
      <c r="P135" s="828"/>
      <c r="Q135" s="828"/>
      <c r="R135" s="828"/>
      <c r="S135" s="825" t="s">
        <v>1928</v>
      </c>
      <c r="T135" s="825">
        <v>0.15</v>
      </c>
      <c r="U135" s="829">
        <v>7.4999999999999997E-2</v>
      </c>
    </row>
    <row r="136" spans="1:21" ht="16.5" outlineLevel="1">
      <c r="A136" s="1513" t="s">
        <v>1940</v>
      </c>
      <c r="B136" s="1514"/>
      <c r="C136" s="834" t="s">
        <v>1937</v>
      </c>
      <c r="D136" s="823">
        <f>'RR01-声誉风险'!L25</f>
        <v>0</v>
      </c>
      <c r="E136" s="827"/>
      <c r="F136" s="827"/>
      <c r="G136" s="825">
        <v>1</v>
      </c>
      <c r="H136" s="825" t="s">
        <v>1928</v>
      </c>
      <c r="I136" s="825"/>
      <c r="J136" s="825"/>
      <c r="K136" s="825"/>
      <c r="L136" s="825"/>
      <c r="M136" s="825"/>
      <c r="N136" s="825"/>
      <c r="O136" s="825"/>
      <c r="P136" s="825"/>
      <c r="Q136" s="825"/>
      <c r="R136" s="825"/>
      <c r="S136" s="825" t="s">
        <v>1928</v>
      </c>
      <c r="T136" s="825">
        <v>0.1</v>
      </c>
      <c r="U136" s="825">
        <v>0.05</v>
      </c>
    </row>
    <row r="137" spans="1:21" ht="16.5" outlineLevel="1">
      <c r="A137" s="1513" t="s">
        <v>1941</v>
      </c>
      <c r="B137" s="1514"/>
      <c r="C137" s="779" t="s">
        <v>1937</v>
      </c>
      <c r="D137" s="823">
        <f>流动性风险!G40</f>
        <v>11.111111111111114</v>
      </c>
      <c r="E137" s="827"/>
      <c r="F137" s="827"/>
      <c r="G137" s="825">
        <v>1</v>
      </c>
      <c r="H137" s="828" t="s">
        <v>1928</v>
      </c>
      <c r="I137" s="828"/>
      <c r="J137" s="828"/>
      <c r="K137" s="828"/>
      <c r="L137" s="828"/>
      <c r="M137" s="828"/>
      <c r="N137" s="828"/>
      <c r="O137" s="828"/>
      <c r="P137" s="828"/>
      <c r="Q137" s="828"/>
      <c r="R137" s="828"/>
      <c r="S137" s="825" t="s">
        <v>1928</v>
      </c>
      <c r="T137" s="825">
        <v>0.25</v>
      </c>
      <c r="U137" s="829">
        <v>0.125</v>
      </c>
    </row>
    <row r="138" spans="1:21" ht="16.5" outlineLevel="1">
      <c r="A138" s="1511" t="s">
        <v>1990</v>
      </c>
      <c r="B138" s="1511"/>
      <c r="C138" s="834" t="s">
        <v>1942</v>
      </c>
      <c r="D138" s="823">
        <f>D134*T134+D135*T135+D136*T136+D137*T137</f>
        <v>6.6364138775734887</v>
      </c>
      <c r="E138" s="827"/>
      <c r="F138" s="827"/>
      <c r="G138" s="825">
        <v>1</v>
      </c>
      <c r="H138" s="828" t="s">
        <v>1928</v>
      </c>
      <c r="I138" s="828"/>
      <c r="J138" s="828"/>
      <c r="K138" s="828"/>
      <c r="L138" s="828"/>
      <c r="M138" s="828"/>
      <c r="N138" s="828"/>
      <c r="O138" s="828"/>
      <c r="P138" s="828"/>
      <c r="Q138" s="828"/>
      <c r="R138" s="828"/>
      <c r="S138" s="825" t="s">
        <v>1928</v>
      </c>
      <c r="T138" s="825">
        <v>1</v>
      </c>
      <c r="U138" s="825">
        <v>0.5</v>
      </c>
    </row>
    <row r="139" spans="1:21" ht="16.5" outlineLevel="1">
      <c r="A139" s="1515" t="s">
        <v>1943</v>
      </c>
      <c r="B139" s="1515"/>
      <c r="C139" s="834" t="s">
        <v>1942</v>
      </c>
      <c r="D139" s="823">
        <v>0</v>
      </c>
      <c r="E139" s="827"/>
      <c r="F139" s="827"/>
      <c r="G139" s="825">
        <v>1</v>
      </c>
      <c r="H139" s="828" t="s">
        <v>1928</v>
      </c>
      <c r="I139" s="828"/>
      <c r="J139" s="828"/>
      <c r="K139" s="828"/>
      <c r="L139" s="828"/>
      <c r="M139" s="828"/>
      <c r="N139" s="828"/>
      <c r="O139" s="828"/>
      <c r="P139" s="828"/>
      <c r="Q139" s="828"/>
      <c r="R139" s="828"/>
      <c r="S139" s="825" t="s">
        <v>1928</v>
      </c>
      <c r="T139" s="828" t="s">
        <v>1928</v>
      </c>
      <c r="U139" s="825">
        <v>0.5</v>
      </c>
    </row>
    <row r="140" spans="1:21" ht="16.5" outlineLevel="1">
      <c r="A140" s="1511" t="s">
        <v>1944</v>
      </c>
      <c r="B140" s="1511"/>
      <c r="C140" s="834" t="s">
        <v>1945</v>
      </c>
      <c r="D140" s="823">
        <f>D138*U138+D139*U139</f>
        <v>3.3182069387867443</v>
      </c>
      <c r="E140" s="827"/>
      <c r="F140" s="827"/>
      <c r="G140" s="828" t="s">
        <v>1928</v>
      </c>
      <c r="H140" s="828" t="s">
        <v>1928</v>
      </c>
      <c r="I140" s="828"/>
      <c r="J140" s="828"/>
      <c r="K140" s="828"/>
      <c r="L140" s="828"/>
      <c r="M140" s="828"/>
      <c r="N140" s="828"/>
      <c r="O140" s="828"/>
      <c r="P140" s="828"/>
      <c r="Q140" s="828"/>
      <c r="R140" s="828"/>
      <c r="S140" s="825" t="s">
        <v>1928</v>
      </c>
      <c r="T140" s="828" t="s">
        <v>1928</v>
      </c>
      <c r="U140" s="825">
        <v>1</v>
      </c>
    </row>
    <row r="143" spans="1:21">
      <c r="A143" s="1527" t="str">
        <f>A82</f>
        <v>行业无法确定</v>
      </c>
      <c r="B143" s="1527"/>
      <c r="C143" s="969">
        <f>D82</f>
        <v>3.3861111111111111</v>
      </c>
    </row>
    <row r="144" spans="1:21">
      <c r="A144" s="1527" t="str">
        <f>A102</f>
        <v>监管评分</v>
      </c>
      <c r="B144" s="1527"/>
      <c r="C144" s="969">
        <f>D102</f>
        <v>1.7472222222222222</v>
      </c>
    </row>
    <row r="145" spans="1:5">
      <c r="A145" s="1525" t="s">
        <v>2028</v>
      </c>
      <c r="B145" s="1526"/>
      <c r="C145" s="969">
        <f>D134*U134</f>
        <v>1.3293180498978552</v>
      </c>
    </row>
    <row r="146" spans="1:5">
      <c r="A146" s="1525" t="s">
        <v>2029</v>
      </c>
      <c r="B146" s="1526"/>
      <c r="C146" s="969">
        <f>D135*U135</f>
        <v>0.6</v>
      </c>
    </row>
    <row r="147" spans="1:5">
      <c r="A147" s="1525" t="s">
        <v>2030</v>
      </c>
      <c r="B147" s="1526"/>
      <c r="C147" s="969">
        <f>D137*U137</f>
        <v>1.3888888888888893</v>
      </c>
      <c r="D147" s="970" t="s">
        <v>2031</v>
      </c>
      <c r="E147" s="969">
        <f>D136*U136</f>
        <v>0</v>
      </c>
    </row>
  </sheetData>
  <mergeCells count="122">
    <mergeCell ref="A145:B145"/>
    <mergeCell ref="A146:B146"/>
    <mergeCell ref="A147:B147"/>
    <mergeCell ref="A143:B143"/>
    <mergeCell ref="A144:B144"/>
    <mergeCell ref="F2:F3"/>
    <mergeCell ref="G2:G3"/>
    <mergeCell ref="G23:H23"/>
    <mergeCell ref="S23:S24"/>
    <mergeCell ref="C2:C3"/>
    <mergeCell ref="D2:D3"/>
    <mergeCell ref="E2:E3"/>
    <mergeCell ref="A4:A13"/>
    <mergeCell ref="A14:B14"/>
    <mergeCell ref="A15:B15"/>
    <mergeCell ref="A16:B16"/>
    <mergeCell ref="A17:B17"/>
    <mergeCell ref="O2:O3"/>
    <mergeCell ref="P2:P3"/>
    <mergeCell ref="A39:B39"/>
    <mergeCell ref="A40:B40"/>
    <mergeCell ref="A43:B44"/>
    <mergeCell ref="C43:C44"/>
    <mergeCell ref="D43:D44"/>
    <mergeCell ref="T23:T24"/>
    <mergeCell ref="U23:U24"/>
    <mergeCell ref="A23:B24"/>
    <mergeCell ref="C23:C24"/>
    <mergeCell ref="D23:D24"/>
    <mergeCell ref="E23:E24"/>
    <mergeCell ref="F23:F24"/>
    <mergeCell ref="A18:B18"/>
    <mergeCell ref="A19:B19"/>
    <mergeCell ref="A25:A34"/>
    <mergeCell ref="A35:B35"/>
    <mergeCell ref="A36:B36"/>
    <mergeCell ref="A37:B37"/>
    <mergeCell ref="A38:B38"/>
    <mergeCell ref="A57:B57"/>
    <mergeCell ref="A58:B58"/>
    <mergeCell ref="A59:B59"/>
    <mergeCell ref="A60:B60"/>
    <mergeCell ref="U43:U44"/>
    <mergeCell ref="A45:A54"/>
    <mergeCell ref="A55:B55"/>
    <mergeCell ref="A56:B56"/>
    <mergeCell ref="E43:E44"/>
    <mergeCell ref="F43:F44"/>
    <mergeCell ref="G43:H43"/>
    <mergeCell ref="S43:S44"/>
    <mergeCell ref="T43:T44"/>
    <mergeCell ref="A78:B78"/>
    <mergeCell ref="G63:H63"/>
    <mergeCell ref="S63:S64"/>
    <mergeCell ref="T63:T64"/>
    <mergeCell ref="U63:U64"/>
    <mergeCell ref="A63:B64"/>
    <mergeCell ref="C63:C64"/>
    <mergeCell ref="D63:D64"/>
    <mergeCell ref="E63:E64"/>
    <mergeCell ref="F63:F64"/>
    <mergeCell ref="U83:U84"/>
    <mergeCell ref="A85:A94"/>
    <mergeCell ref="A95:B95"/>
    <mergeCell ref="A96:B96"/>
    <mergeCell ref="E83:E84"/>
    <mergeCell ref="F83:F84"/>
    <mergeCell ref="G83:H83"/>
    <mergeCell ref="S83:S84"/>
    <mergeCell ref="T83:T84"/>
    <mergeCell ref="A83:B84"/>
    <mergeCell ref="C83:C84"/>
    <mergeCell ref="D83:D84"/>
    <mergeCell ref="A105:A114"/>
    <mergeCell ref="A115:B115"/>
    <mergeCell ref="A116:B116"/>
    <mergeCell ref="A117:B117"/>
    <mergeCell ref="F103:F104"/>
    <mergeCell ref="G103:H103"/>
    <mergeCell ref="S103:S104"/>
    <mergeCell ref="T103:T104"/>
    <mergeCell ref="U103:U104"/>
    <mergeCell ref="A103:B104"/>
    <mergeCell ref="C103:C104"/>
    <mergeCell ref="D103:D104"/>
    <mergeCell ref="E103:E104"/>
    <mergeCell ref="U123:U124"/>
    <mergeCell ref="A125:A134"/>
    <mergeCell ref="C123:C124"/>
    <mergeCell ref="D123:D124"/>
    <mergeCell ref="E123:E124"/>
    <mergeCell ref="F123:F124"/>
    <mergeCell ref="G123:H123"/>
    <mergeCell ref="A118:B118"/>
    <mergeCell ref="A119:B119"/>
    <mergeCell ref="A120:B120"/>
    <mergeCell ref="A122:B122"/>
    <mergeCell ref="A123:B124"/>
    <mergeCell ref="A140:B140"/>
    <mergeCell ref="A2:B3"/>
    <mergeCell ref="A135:B135"/>
    <mergeCell ref="A136:B136"/>
    <mergeCell ref="A137:B137"/>
    <mergeCell ref="A138:B138"/>
    <mergeCell ref="A139:B139"/>
    <mergeCell ref="S123:S124"/>
    <mergeCell ref="T123:T124"/>
    <mergeCell ref="A102:B102"/>
    <mergeCell ref="A97:B97"/>
    <mergeCell ref="A98:B98"/>
    <mergeCell ref="A99:B99"/>
    <mergeCell ref="A100:B100"/>
    <mergeCell ref="A22:B22"/>
    <mergeCell ref="A42:B42"/>
    <mergeCell ref="A62:B62"/>
    <mergeCell ref="A82:B82"/>
    <mergeCell ref="A79:B79"/>
    <mergeCell ref="A80:B80"/>
    <mergeCell ref="A65:A74"/>
    <mergeCell ref="A75:B75"/>
    <mergeCell ref="A76:B76"/>
    <mergeCell ref="A77:B77"/>
  </mergeCells>
  <phoneticPr fontId="3" type="noConversion"/>
  <conditionalFormatting sqref="E22">
    <cfRule type="expression" dxfId="231" priority="35">
      <formula>$E$22&lt;&gt;0</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tabColor theme="6"/>
  </sheetPr>
  <dimension ref="A1:DC205"/>
  <sheetViews>
    <sheetView tabSelected="1" workbookViewId="0">
      <pane xSplit="18" ySplit="3" topLeftCell="S19" activePane="bottomRight" state="frozenSplit"/>
      <selection activeCell="C1" sqref="C1"/>
      <selection pane="topRight" activeCell="W1" sqref="W1"/>
      <selection pane="bottomLeft" activeCell="C3" sqref="C3"/>
      <selection pane="bottomRight" activeCell="F21" sqref="F19:F21"/>
    </sheetView>
  </sheetViews>
  <sheetFormatPr defaultColWidth="8.875" defaultRowHeight="16.5" outlineLevelCol="3"/>
  <cols>
    <col min="1" max="1" width="34.25" style="319" hidden="1" customWidth="1" outlineLevel="3"/>
    <col min="2" max="2" width="18.875" style="319" hidden="1" customWidth="1" outlineLevel="1"/>
    <col min="3" max="3" width="4.625" style="259" customWidth="1" collapsed="1"/>
    <col min="4" max="4" width="32.75" style="317" customWidth="1"/>
    <col min="5" max="5" width="12.875" style="347" hidden="1" customWidth="1" outlineLevel="1"/>
    <col min="6" max="6" width="17.25" style="355" hidden="1" customWidth="1" outlineLevel="2"/>
    <col min="7" max="7" width="10.75" style="355" hidden="1" customWidth="1" outlineLevel="2"/>
    <col min="8" max="8" width="10.75" style="354" hidden="1" customWidth="1" outlineLevel="1"/>
    <col min="9" max="9" width="7.5" style="319" customWidth="1" collapsed="1"/>
    <col min="10" max="10" width="10.375" style="354" hidden="1" customWidth="1" outlineLevel="1"/>
    <col min="11" max="11" width="7.375" style="355" hidden="1" customWidth="1" outlineLevel="1"/>
    <col min="12" max="12" width="10.625" style="354" hidden="1" customWidth="1" outlineLevel="1"/>
    <col min="13" max="13" width="7.25" style="319" hidden="1" customWidth="1" outlineLevel="1"/>
    <col min="14" max="14" width="6.625" style="319" hidden="1" customWidth="1" outlineLevel="1"/>
    <col min="15" max="15" width="7.375" style="312" hidden="1" customWidth="1" outlineLevel="1"/>
    <col min="16" max="16" width="5.25" style="312" hidden="1" customWidth="1" outlineLevel="1"/>
    <col min="17" max="17" width="7.875" style="312" hidden="1" customWidth="1" outlineLevel="1"/>
    <col min="18" max="18" width="9.625" style="312" customWidth="1" collapsed="1"/>
    <col min="19" max="19" width="4" style="312" customWidth="1"/>
    <col min="20" max="20" width="10.25" style="354" hidden="1" customWidth="1" outlineLevel="2"/>
    <col min="21" max="21" width="10.375" style="355" hidden="1" customWidth="1" outlineLevel="2"/>
    <col min="22" max="22" width="9.375" style="354" customWidth="1" collapsed="1"/>
    <col min="23" max="23" width="9.875" style="355" customWidth="1"/>
    <col min="24" max="24" width="9.25" style="313" customWidth="1"/>
    <col min="25" max="25" width="3.75" style="313" customWidth="1"/>
    <col min="26" max="26" width="11.75" style="666" customWidth="1" outlineLevel="2"/>
    <col min="27" max="27" width="7.5" style="371" customWidth="1" outlineLevel="2"/>
    <col min="28" max="28" width="12.5" style="666" customWidth="1"/>
    <col min="29" max="29" width="7.625" style="371" customWidth="1"/>
    <col min="30" max="30" width="10.375" style="315" customWidth="1"/>
    <col min="31" max="31" width="4.125" style="315" customWidth="1"/>
    <col min="32" max="32" width="10.875" style="354" customWidth="1" outlineLevel="2"/>
    <col min="33" max="33" width="10.75" style="355" customWidth="1" outlineLevel="2"/>
    <col min="34" max="34" width="10.75" style="354" customWidth="1"/>
    <col min="35" max="35" width="7.75" style="355" customWidth="1"/>
    <col min="36" max="36" width="10.25" style="313" customWidth="1"/>
    <col min="37" max="37" width="4.25" style="313" customWidth="1"/>
    <col min="38" max="38" width="13.125" style="666" hidden="1" customWidth="1" outlineLevel="2"/>
    <col min="39" max="39" width="8.25" style="371" hidden="1" customWidth="1" outlineLevel="2"/>
    <col min="40" max="40" width="13.125" style="666" customWidth="1" collapsed="1"/>
    <col min="41" max="41" width="7.5" style="371" customWidth="1"/>
    <col min="42" max="42" width="11.875" style="315" customWidth="1"/>
    <col min="43" max="43" width="4.625" style="315" customWidth="1"/>
    <col min="44" max="44" width="14.25" style="354" hidden="1" customWidth="1" outlineLevel="2"/>
    <col min="45" max="45" width="8.875" style="355" hidden="1" customWidth="1" outlineLevel="2"/>
    <col min="46" max="46" width="13.625" style="354" customWidth="1" collapsed="1"/>
    <col min="47" max="47" width="7.25" style="355" customWidth="1"/>
    <col min="48" max="48" width="10.5" style="313" customWidth="1"/>
    <col min="49" max="49" width="4.125" style="313" customWidth="1"/>
    <col min="50" max="50" width="12.75" style="666" hidden="1" customWidth="1" outlineLevel="2"/>
    <col min="51" max="51" width="9" style="371" hidden="1" customWidth="1" outlineLevel="2"/>
    <col min="52" max="52" width="13.25" style="666" customWidth="1" collapsed="1"/>
    <col min="53" max="53" width="7.875" style="371" customWidth="1"/>
    <col min="54" max="54" width="11.5" style="315" customWidth="1"/>
    <col min="55" max="55" width="4.25" style="315" customWidth="1"/>
    <col min="56" max="56" width="13.125" style="312" hidden="1" customWidth="1" outlineLevel="2"/>
    <col min="57" max="57" width="8.25" style="355" hidden="1" customWidth="1" outlineLevel="2"/>
    <col min="58" max="58" width="13.125" style="354" customWidth="1" collapsed="1"/>
    <col min="59" max="59" width="8.25" style="355" customWidth="1"/>
    <col min="60" max="60" width="11.375" style="313" customWidth="1"/>
    <col min="61" max="61" width="4.375" style="313" customWidth="1"/>
    <col min="62" max="62" width="12.125" style="314" hidden="1" customWidth="1" outlineLevel="2"/>
    <col min="63" max="63" width="10.25" style="371" hidden="1" customWidth="1" outlineLevel="2"/>
    <col min="64" max="64" width="14.25" style="666" customWidth="1" collapsed="1"/>
    <col min="65" max="65" width="6.875" style="371" customWidth="1"/>
    <col min="66" max="66" width="10.25" style="315" customWidth="1"/>
    <col min="67" max="67" width="4.375" style="315" customWidth="1"/>
    <col min="68" max="68" width="9.375" style="312" hidden="1" customWidth="1" outlineLevel="2"/>
    <col min="69" max="69" width="12.125" style="355" hidden="1" customWidth="1" outlineLevel="2"/>
    <col min="70" max="70" width="13.125" style="312" customWidth="1" collapsed="1"/>
    <col min="71" max="71" width="8.125" style="355" customWidth="1"/>
    <col min="72" max="72" width="9.25" style="313" customWidth="1"/>
    <col min="73" max="73" width="4.25" style="313" customWidth="1"/>
    <col min="74" max="74" width="11.125" style="314" hidden="1" customWidth="1" outlineLevel="2"/>
    <col min="75" max="75" width="8" style="371" hidden="1" customWidth="1" outlineLevel="2"/>
    <col min="76" max="76" width="12.375" style="314" customWidth="1" collapsed="1"/>
    <col min="77" max="77" width="7.625" style="371" customWidth="1"/>
    <col min="78" max="78" width="10.125" style="315" customWidth="1"/>
    <col min="79" max="79" width="9" style="314" customWidth="1"/>
    <col min="80" max="80" width="8.5" style="356" bestFit="1" customWidth="1"/>
    <col min="81" max="81" width="8.875" style="312" customWidth="1"/>
    <col min="82" max="82" width="20.875" style="522" customWidth="1" outlineLevel="1"/>
    <col min="83" max="83" width="14.125" style="522" customWidth="1" outlineLevel="1"/>
    <col min="84" max="84" width="14.125" style="523" hidden="1" customWidth="1" outlineLevel="2"/>
    <col min="85" max="85" width="8.875" style="522" customWidth="1" outlineLevel="1" collapsed="1"/>
    <col min="86" max="86" width="8.875" style="523" hidden="1" customWidth="1" outlineLevel="2"/>
    <col min="87" max="87" width="8.875" style="522" customWidth="1" outlineLevel="1" collapsed="1"/>
    <col min="88" max="88" width="8.875" style="523" hidden="1" customWidth="1" outlineLevel="2"/>
    <col min="89" max="89" width="8.875" style="522" customWidth="1" outlineLevel="1" collapsed="1"/>
    <col min="90" max="90" width="8.875" style="523" hidden="1" customWidth="1" outlineLevel="2"/>
    <col min="91" max="91" width="8.875" style="522" customWidth="1" outlineLevel="1" collapsed="1"/>
    <col min="92" max="92" width="8.875" style="523" hidden="1" customWidth="1" outlineLevel="2"/>
    <col min="93" max="93" width="8.875" style="522" customWidth="1" outlineLevel="1" collapsed="1"/>
    <col min="94" max="94" width="8.875" style="523" hidden="1" customWidth="1" outlineLevel="2"/>
    <col min="95" max="95" width="8.875" style="522" customWidth="1" outlineLevel="1" collapsed="1"/>
    <col min="96" max="96" width="8.875" style="523" hidden="1" customWidth="1" outlineLevel="2"/>
    <col min="97" max="97" width="8.875" style="522" customWidth="1" outlineLevel="1" collapsed="1"/>
    <col min="98" max="107" width="8.875" style="312"/>
    <col min="108" max="16384" width="8.875" style="1"/>
  </cols>
  <sheetData>
    <row r="1" spans="1:107">
      <c r="A1" s="508"/>
      <c r="B1" s="308"/>
      <c r="C1" s="506" t="s">
        <v>1185</v>
      </c>
      <c r="D1" s="507"/>
      <c r="E1" s="309"/>
      <c r="F1" s="308"/>
      <c r="G1" s="308"/>
      <c r="H1" s="310"/>
      <c r="I1" s="308"/>
      <c r="J1" s="310"/>
      <c r="K1" s="308"/>
      <c r="L1" s="310"/>
      <c r="M1" s="308" t="s">
        <v>2009</v>
      </c>
      <c r="N1" s="308"/>
      <c r="O1" s="311"/>
      <c r="P1" s="311"/>
      <c r="Q1" s="311"/>
      <c r="R1" s="311"/>
      <c r="S1" s="311"/>
      <c r="CB1" s="316"/>
    </row>
    <row r="2" spans="1:107" ht="15" customHeight="1">
      <c r="A2" s="318"/>
      <c r="B2" s="308"/>
      <c r="E2" s="309"/>
      <c r="F2" s="308"/>
      <c r="G2" s="308"/>
      <c r="H2" s="310"/>
      <c r="J2" s="1581" t="s">
        <v>1898</v>
      </c>
      <c r="K2" s="1582"/>
      <c r="L2" s="1582"/>
      <c r="M2" s="1582"/>
      <c r="N2" s="1582"/>
      <c r="O2" s="1582"/>
      <c r="P2" s="513"/>
      <c r="Q2" s="821"/>
      <c r="R2" s="821"/>
      <c r="S2" s="537"/>
      <c r="T2" s="1544" t="s">
        <v>1186</v>
      </c>
      <c r="U2" s="1545"/>
      <c r="V2" s="1545"/>
      <c r="W2" s="1545"/>
      <c r="X2" s="1546"/>
      <c r="Y2" s="622"/>
      <c r="Z2" s="1544" t="s">
        <v>1187</v>
      </c>
      <c r="AA2" s="1545"/>
      <c r="AB2" s="1545"/>
      <c r="AC2" s="1545"/>
      <c r="AD2" s="1546"/>
      <c r="AE2" s="622"/>
      <c r="AF2" s="1544" t="s">
        <v>1188</v>
      </c>
      <c r="AG2" s="1545"/>
      <c r="AH2" s="1545"/>
      <c r="AI2" s="1545"/>
      <c r="AJ2" s="1546"/>
      <c r="AK2" s="622"/>
      <c r="AL2" s="1544" t="s">
        <v>1189</v>
      </c>
      <c r="AM2" s="1545"/>
      <c r="AN2" s="1545"/>
      <c r="AO2" s="1545"/>
      <c r="AP2" s="1546"/>
      <c r="AQ2" s="622"/>
      <c r="AR2" s="1544" t="s">
        <v>1190</v>
      </c>
      <c r="AS2" s="1545"/>
      <c r="AT2" s="1545"/>
      <c r="AU2" s="1545"/>
      <c r="AV2" s="1546"/>
      <c r="AW2" s="622"/>
      <c r="AX2" s="1544" t="s">
        <v>1191</v>
      </c>
      <c r="AY2" s="1545"/>
      <c r="AZ2" s="1545"/>
      <c r="BA2" s="1545"/>
      <c r="BB2" s="1546"/>
      <c r="BC2" s="622"/>
      <c r="BD2" s="1544" t="s">
        <v>1192</v>
      </c>
      <c r="BE2" s="1545"/>
      <c r="BF2" s="1545"/>
      <c r="BG2" s="1545"/>
      <c r="BH2" s="1546"/>
      <c r="BI2" s="622"/>
      <c r="BJ2" s="1544" t="s">
        <v>1193</v>
      </c>
      <c r="BK2" s="1545"/>
      <c r="BL2" s="1545"/>
      <c r="BM2" s="1545"/>
      <c r="BN2" s="1546"/>
      <c r="BO2" s="622"/>
      <c r="BP2" s="1544" t="s">
        <v>1194</v>
      </c>
      <c r="BQ2" s="1545"/>
      <c r="BR2" s="1545"/>
      <c r="BS2" s="1545"/>
      <c r="BT2" s="1546"/>
      <c r="BU2" s="622"/>
      <c r="BV2" s="1544" t="s">
        <v>2053</v>
      </c>
      <c r="BW2" s="1545"/>
      <c r="BX2" s="1545"/>
      <c r="BY2" s="1545"/>
      <c r="BZ2" s="1546"/>
      <c r="CB2" s="316"/>
      <c r="CE2" s="522" t="s">
        <v>1196</v>
      </c>
    </row>
    <row r="3" spans="1:107" s="514" customFormat="1" ht="22.5" customHeight="1">
      <c r="A3" s="67" t="s">
        <v>1199</v>
      </c>
      <c r="B3" s="67" t="s">
        <v>1200</v>
      </c>
      <c r="C3" s="67" t="s">
        <v>1197</v>
      </c>
      <c r="D3" s="513" t="s">
        <v>1198</v>
      </c>
      <c r="E3" s="513" t="s">
        <v>1803</v>
      </c>
      <c r="F3" s="513" t="s">
        <v>1806</v>
      </c>
      <c r="G3" s="513" t="s">
        <v>1805</v>
      </c>
      <c r="H3" s="513" t="s">
        <v>1804</v>
      </c>
      <c r="I3" s="513" t="s">
        <v>1807</v>
      </c>
      <c r="J3" s="656" t="s">
        <v>1808</v>
      </c>
      <c r="K3" s="518" t="s">
        <v>1708</v>
      </c>
      <c r="L3" s="1058" t="s">
        <v>1811</v>
      </c>
      <c r="M3" s="518" t="s">
        <v>1812</v>
      </c>
      <c r="N3" s="517" t="s">
        <v>1899</v>
      </c>
      <c r="O3" s="995" t="s">
        <v>547</v>
      </c>
      <c r="P3" s="67" t="s">
        <v>1946</v>
      </c>
      <c r="Q3" s="831" t="s">
        <v>1947</v>
      </c>
      <c r="R3" s="831" t="s">
        <v>1948</v>
      </c>
      <c r="S3" s="822"/>
      <c r="T3" s="673" t="str">
        <f>J3</f>
        <v>Q1</v>
      </c>
      <c r="U3" s="513" t="str">
        <f>K3</f>
        <v>Q1得分</v>
      </c>
      <c r="V3" s="672" t="str">
        <f>L3</f>
        <v>Q2</v>
      </c>
      <c r="W3" s="513" t="str">
        <f>M3</f>
        <v>Q2得分</v>
      </c>
      <c r="X3" s="513" t="s">
        <v>1202</v>
      </c>
      <c r="Y3" s="513"/>
      <c r="Z3" s="513" t="str">
        <f>T3</f>
        <v>Q1</v>
      </c>
      <c r="AA3" s="513" t="str">
        <f>U3</f>
        <v>Q1得分</v>
      </c>
      <c r="AB3" s="672" t="str">
        <f>V3</f>
        <v>Q2</v>
      </c>
      <c r="AC3" s="513" t="str">
        <f>W3</f>
        <v>Q2得分</v>
      </c>
      <c r="AD3" s="513" t="s">
        <v>1202</v>
      </c>
      <c r="AE3" s="513"/>
      <c r="AF3" s="513" t="str">
        <f>Z3</f>
        <v>Q1</v>
      </c>
      <c r="AG3" s="513" t="str">
        <f>AA3</f>
        <v>Q1得分</v>
      </c>
      <c r="AH3" s="672" t="str">
        <f>AB3</f>
        <v>Q2</v>
      </c>
      <c r="AI3" s="513" t="str">
        <f>AC3</f>
        <v>Q2得分</v>
      </c>
      <c r="AJ3" s="513" t="s">
        <v>1202</v>
      </c>
      <c r="AK3" s="513"/>
      <c r="AL3" s="513" t="str">
        <f>AF3</f>
        <v>Q1</v>
      </c>
      <c r="AM3" s="513" t="str">
        <f>AG3</f>
        <v>Q1得分</v>
      </c>
      <c r="AN3" s="672" t="str">
        <f>AH3</f>
        <v>Q2</v>
      </c>
      <c r="AO3" s="513" t="str">
        <f>AI3</f>
        <v>Q2得分</v>
      </c>
      <c r="AP3" s="513" t="s">
        <v>1202</v>
      </c>
      <c r="AQ3" s="513"/>
      <c r="AR3" s="513" t="str">
        <f>AL3</f>
        <v>Q1</v>
      </c>
      <c r="AS3" s="513" t="str">
        <f>AM3</f>
        <v>Q1得分</v>
      </c>
      <c r="AT3" s="672" t="str">
        <f>AN3</f>
        <v>Q2</v>
      </c>
      <c r="AU3" s="513" t="str">
        <f>AO3</f>
        <v>Q2得分</v>
      </c>
      <c r="AV3" s="513" t="str">
        <f>AP3</f>
        <v>数据校验</v>
      </c>
      <c r="AW3" s="513"/>
      <c r="AX3" s="513" t="str">
        <f>AR3</f>
        <v>Q1</v>
      </c>
      <c r="AY3" s="513" t="str">
        <f>AS3</f>
        <v>Q1得分</v>
      </c>
      <c r="AZ3" s="672" t="str">
        <f>AT3</f>
        <v>Q2</v>
      </c>
      <c r="BA3" s="513" t="str">
        <f>AU3</f>
        <v>Q2得分</v>
      </c>
      <c r="BB3" s="513" t="str">
        <f>AV3</f>
        <v>数据校验</v>
      </c>
      <c r="BC3" s="513"/>
      <c r="BD3" s="513" t="str">
        <f t="shared" ref="BD3:BG3" si="0">AX3</f>
        <v>Q1</v>
      </c>
      <c r="BE3" s="513" t="str">
        <f t="shared" si="0"/>
        <v>Q1得分</v>
      </c>
      <c r="BF3" s="671" t="str">
        <f t="shared" si="0"/>
        <v>Q2</v>
      </c>
      <c r="BG3" s="513" t="str">
        <f t="shared" si="0"/>
        <v>Q2得分</v>
      </c>
      <c r="BH3" s="513" t="s">
        <v>1202</v>
      </c>
      <c r="BI3" s="513"/>
      <c r="BJ3" s="513" t="str">
        <f>BD3</f>
        <v>Q1</v>
      </c>
      <c r="BK3" s="513" t="str">
        <f>BE3</f>
        <v>Q1得分</v>
      </c>
      <c r="BL3" s="672" t="str">
        <f>BF3</f>
        <v>Q2</v>
      </c>
      <c r="BM3" s="513" t="str">
        <f>BG3</f>
        <v>Q2得分</v>
      </c>
      <c r="BN3" s="513" t="s">
        <v>1202</v>
      </c>
      <c r="BO3" s="513"/>
      <c r="BP3" s="513" t="str">
        <f>BJ3</f>
        <v>Q1</v>
      </c>
      <c r="BQ3" s="513" t="str">
        <f>BK3</f>
        <v>Q1得分</v>
      </c>
      <c r="BR3" s="672" t="str">
        <f>BL3</f>
        <v>Q2</v>
      </c>
      <c r="BS3" s="513" t="str">
        <f>BM3</f>
        <v>Q2得分</v>
      </c>
      <c r="BT3" s="513" t="str">
        <f>BN3</f>
        <v>数据校验</v>
      </c>
      <c r="BU3" s="513"/>
      <c r="BV3" s="513" t="str">
        <f t="shared" ref="BV3:BY3" si="1">BP3</f>
        <v>Q1</v>
      </c>
      <c r="BW3" s="513" t="str">
        <f t="shared" si="1"/>
        <v>Q1得分</v>
      </c>
      <c r="BX3" s="672" t="str">
        <f t="shared" si="1"/>
        <v>Q2</v>
      </c>
      <c r="BY3" s="513" t="str">
        <f t="shared" si="1"/>
        <v>Q2得分</v>
      </c>
      <c r="BZ3" s="513" t="s">
        <v>1202</v>
      </c>
      <c r="CA3" s="515"/>
      <c r="CD3" s="522" t="s">
        <v>1637</v>
      </c>
      <c r="CE3" s="524" t="s">
        <v>1623</v>
      </c>
      <c r="CF3" s="525" t="s">
        <v>1624</v>
      </c>
      <c r="CG3" s="524" t="s">
        <v>1625</v>
      </c>
      <c r="CH3" s="525" t="s">
        <v>1626</v>
      </c>
      <c r="CI3" s="524" t="s">
        <v>1627</v>
      </c>
      <c r="CJ3" s="525" t="s">
        <v>1628</v>
      </c>
      <c r="CK3" s="524" t="s">
        <v>1629</v>
      </c>
      <c r="CL3" s="525" t="s">
        <v>1630</v>
      </c>
      <c r="CM3" s="524" t="s">
        <v>1631</v>
      </c>
      <c r="CN3" s="525" t="s">
        <v>1632</v>
      </c>
      <c r="CO3" s="524" t="s">
        <v>1633</v>
      </c>
      <c r="CP3" s="525" t="s">
        <v>1634</v>
      </c>
      <c r="CQ3" s="524" t="s">
        <v>1635</v>
      </c>
      <c r="CR3" s="525" t="s">
        <v>1636</v>
      </c>
      <c r="CS3" s="522" t="s">
        <v>1472</v>
      </c>
    </row>
    <row r="4" spans="1:107" s="2" customFormat="1">
      <c r="A4" s="1573" t="s">
        <v>1206</v>
      </c>
      <c r="B4" s="1571" t="s">
        <v>1788</v>
      </c>
      <c r="C4" s="23">
        <v>1</v>
      </c>
      <c r="D4" s="1024" t="s">
        <v>1205</v>
      </c>
      <c r="E4" s="491"/>
      <c r="F4" s="384"/>
      <c r="G4" s="384" t="s">
        <v>489</v>
      </c>
      <c r="H4" s="330" t="s">
        <v>285</v>
      </c>
      <c r="I4" s="383">
        <v>3</v>
      </c>
      <c r="J4" s="657">
        <f>AVERAGE(BV4,BP4,BJ4,BD4,AX4,AR4,AL4,AF4,Z4,T4)</f>
        <v>7.3333333333333334E-2</v>
      </c>
      <c r="K4" s="664">
        <f>AVERAGE(BW4,BQ4,BK4,BE4,AY4,AS4,AM4,AG4,AA4,U4)</f>
        <v>2.85</v>
      </c>
      <c r="L4" s="657">
        <f>AVERAGE(BX4,BR4,BL4,BF4,AZ4,AT4,AN4,AH4,AB4,V4)</f>
        <v>0.15595238095238093</v>
      </c>
      <c r="M4" s="511">
        <f>AVERAGE(BY4,BS4,BM4,BG4,BA4,AU4,AO4,AI4,AC4,W4)</f>
        <v>2.5499999999999998</v>
      </c>
      <c r="N4" s="512">
        <f>M4-K4</f>
        <v>-0.30000000000000027</v>
      </c>
      <c r="O4" s="510">
        <f t="shared" ref="O4:O35" si="2">I4-M4</f>
        <v>0.45000000000000018</v>
      </c>
      <c r="P4" s="510">
        <f>O4*0.7</f>
        <v>0.31500000000000011</v>
      </c>
      <c r="Q4" s="833">
        <f>P4/9</f>
        <v>3.500000000000001E-2</v>
      </c>
      <c r="R4" s="832">
        <f>Q4/2</f>
        <v>1.7500000000000005E-2</v>
      </c>
      <c r="S4" s="520"/>
      <c r="T4" s="652">
        <f>IF(SUM(T5:T6)=0,"",T5/SUM(T5:T6))</f>
        <v>0</v>
      </c>
      <c r="U4" s="322">
        <f>IF(T4&lt;=0.3,3,IF(T4&lt;=0.5,1.5,0))</f>
        <v>3</v>
      </c>
      <c r="V4" s="652">
        <f>IF(SUM(V5:V6)=0,"",V5/SUM(V5:V6))</f>
        <v>0</v>
      </c>
      <c r="W4" s="322">
        <f>IF(V4&lt;=0.3,3,IF(V4&lt;=0.5,1.5,0))</f>
        <v>3</v>
      </c>
      <c r="X4" s="323">
        <f t="shared" ref="X4:X67" si="3">IF(AND(T4=0,V4&lt;&gt;0),1,IF(AND(T4=0,V4=0),0,V4/T4-1))</f>
        <v>0</v>
      </c>
      <c r="Y4" s="520"/>
      <c r="Z4" s="652">
        <f>IF(SUM(Z5:Z6)=0,"",Z5/SUM(Z5:Z6))</f>
        <v>0</v>
      </c>
      <c r="AA4" s="322">
        <f>IF(Z4&lt;=0.3,3,IF(Z4&lt;=0.5,1.5,0))</f>
        <v>3</v>
      </c>
      <c r="AB4" s="652">
        <f>IF(SUM(AB5:AB6)=0,"",AB5/SUM(AB5:AB6))</f>
        <v>0.33333333333333331</v>
      </c>
      <c r="AC4" s="1052">
        <f>IF(AB4&lt;=0.3,3,IF(AB4&lt;=0.5,1.5,0))</f>
        <v>1.5</v>
      </c>
      <c r="AD4" s="323">
        <f t="shared" ref="AD4:AD67" si="4">IF(AND(Z4=0,AB4&lt;&gt;0),1,IF(AND(Z4=0,AB4=0),0,AB4/Z4-1))</f>
        <v>1</v>
      </c>
      <c r="AE4" s="520"/>
      <c r="AF4" s="652">
        <f>IF(SUM(AF5:AF6)=0,"",AF5/SUM(AF5:AF6))</f>
        <v>0</v>
      </c>
      <c r="AG4" s="322">
        <f>IF(AF4&lt;=0.3,3,IF(AF4&lt;=0.5,1.5,0))</f>
        <v>3</v>
      </c>
      <c r="AH4" s="652">
        <f>IF(SUM(AH5:AH6)=0,"",AH5/SUM(AH5:AH6))</f>
        <v>0</v>
      </c>
      <c r="AI4" s="322">
        <f>IF(AH4&lt;=0.3,3,IF(AH4&lt;=0.5,1.5,0))</f>
        <v>3</v>
      </c>
      <c r="AJ4" s="323">
        <f t="shared" ref="AJ4:AJ67" si="5">IF(AND(AF4=0,AH4&lt;&gt;0),1,IF(AND(AF4=0,AH4=0),0,AH4/AF4-1))</f>
        <v>0</v>
      </c>
      <c r="AK4" s="520"/>
      <c r="AL4" s="652">
        <f>IF(SUM(AL5:AL6)=0,"",AL5/SUM(AL5:AL6))</f>
        <v>0</v>
      </c>
      <c r="AM4" s="322">
        <f>IF(AL4&lt;=0.3,3,IF(AL4&lt;=0.5,1.5,0))</f>
        <v>3</v>
      </c>
      <c r="AN4" s="652">
        <f>IF(SUM(AN5:AN6)=0,"",AN5/SUM(AN5:AN6))</f>
        <v>0</v>
      </c>
      <c r="AO4" s="322">
        <f>IF(AN4&lt;=0.3,3,IF(AN4&lt;=0.5,1.5,0))</f>
        <v>3</v>
      </c>
      <c r="AP4" s="323">
        <f t="shared" ref="AP4:AP67" si="6">IF(AND(AL4=0,AN4&lt;&gt;0),1,IF(AND(AL4=0,AN4=0),0,AN4/AL4-1))</f>
        <v>0</v>
      </c>
      <c r="AQ4" s="520"/>
      <c r="AR4" s="652">
        <f>IF(SUM(AR5:AR6)=0,"",AR5/SUM(AR5:AR6))</f>
        <v>0</v>
      </c>
      <c r="AS4" s="322">
        <f>IF(AR4&lt;=0.3,3,IF(AR4&lt;=0.5,1.5,0))</f>
        <v>3</v>
      </c>
      <c r="AT4" s="652">
        <f>IF(SUM(AT5:AT6)=0,"",AT5/SUM(AT5:AT6))</f>
        <v>0.14285714285714285</v>
      </c>
      <c r="AU4" s="322">
        <f>IF(AT4&lt;=0.3,3,IF(AT4&lt;=0.5,1.5,0))</f>
        <v>3</v>
      </c>
      <c r="AV4" s="323">
        <f t="shared" ref="AV4:AV67" si="7">IF(AND(AR4=0,AT4&lt;&gt;0),1,IF(AND(AR4=0,AT4=0),0,AT4/AR4-1))</f>
        <v>1</v>
      </c>
      <c r="AW4" s="520"/>
      <c r="AX4" s="652">
        <f>IF(SUM(AX5:AX6)=0,"",AX5/SUM(AX5:AX6))</f>
        <v>0.2</v>
      </c>
      <c r="AY4" s="322">
        <f>IF(AX4&lt;=0.3,3,IF(AX4&lt;=0.5,1.5,0))</f>
        <v>3</v>
      </c>
      <c r="AZ4" s="652">
        <f>IF(SUM(AZ5:AZ6)=0,"",AZ5/SUM(AZ5:AZ6))</f>
        <v>0.25</v>
      </c>
      <c r="BA4" s="322">
        <f>IF(AZ4&lt;=0.3,3,IF(AZ4&lt;=0.5,1.5,0))</f>
        <v>3</v>
      </c>
      <c r="BB4" s="323">
        <f t="shared" ref="BB4:BB67" si="8">IF(AND(AX4=0,AZ4&lt;&gt;0),1,IF(AND(AX4=0,AZ4=0),0,AZ4/AX4-1))</f>
        <v>0.25</v>
      </c>
      <c r="BC4" s="520"/>
      <c r="BD4" s="652">
        <f>IF(SUM(BD5:BD6)=0,"",BD5/SUM(BD5:BD6))</f>
        <v>0</v>
      </c>
      <c r="BE4" s="322">
        <f>IF(BD4&lt;=0.3,3,IF(BD4&lt;=0.5,1.5,0))</f>
        <v>3</v>
      </c>
      <c r="BF4" s="321">
        <f>IF(SUM(BF5:BF6)=0,"",BF5/SUM(BF5:BF6))</f>
        <v>0.5</v>
      </c>
      <c r="BG4" s="1052">
        <f>IF(BF4&lt;=0.3,3,IF(BF4&lt;=0.5,1.5,0))</f>
        <v>1.5</v>
      </c>
      <c r="BH4" s="323">
        <f t="shared" ref="BH4:BH67" si="9">IF(AND(BD4=0,BF4&lt;&gt;0),1,IF(AND(BD4=0,BF4=0),0,BF4/BD4-1))</f>
        <v>1</v>
      </c>
      <c r="BI4" s="520"/>
      <c r="BJ4" s="652">
        <f>IF(SUM(BJ5:BJ6)=0,"",BJ5/SUM(BJ5:BJ6))</f>
        <v>0</v>
      </c>
      <c r="BK4" s="322">
        <f>IF(BJ4&lt;=0.3,3,IF(BJ4&lt;=0.5,1.5,0))</f>
        <v>3</v>
      </c>
      <c r="BL4" s="652">
        <f>IF(SUM(BL5:BL6)=0,"",BL5/SUM(BL5:BL6))</f>
        <v>0</v>
      </c>
      <c r="BM4" s="322">
        <f>IF(BL4&lt;=0.3,3,IF(BL4&lt;=0.5,1.5,0))</f>
        <v>3</v>
      </c>
      <c r="BN4" s="323">
        <f t="shared" ref="BN4:BN67" si="10">IF(AND(BJ4=0,BL4&lt;&gt;0),1,IF(AND(BJ4=0,BL4=0),0,BL4/BJ4-1))</f>
        <v>0</v>
      </c>
      <c r="BO4" s="520"/>
      <c r="BP4" s="652">
        <f>IF(SUM(BP5:BP6)=0,"",BP5/SUM(BP5:BP6))</f>
        <v>0.33333333333333331</v>
      </c>
      <c r="BQ4" s="1052">
        <f>IF(BP4&lt;=0.3,3,IF(BP4&lt;=0.5,1.5,0))</f>
        <v>1.5</v>
      </c>
      <c r="BR4" s="652">
        <f>IF(SUM(BR5:BR6)=0,"",BR5/SUM(BR5:BR6))</f>
        <v>0.33333333333333331</v>
      </c>
      <c r="BS4" s="1052">
        <f>IF(BR4&lt;=0.3,3,IF(BR4&lt;=0.5,1.5,0))</f>
        <v>1.5</v>
      </c>
      <c r="BT4" s="323">
        <f t="shared" ref="BT4:BT67" si="11">IF(AND(BP4=0,BR4&lt;&gt;0),1,IF(AND(BP4=0,BR4=0),0,BR4/BP4-1))</f>
        <v>0</v>
      </c>
      <c r="BU4" s="520"/>
      <c r="BV4" s="652">
        <f>IF(SUM(BV5:BV6)=0,"",BV5/SUM(BV5:BV6))</f>
        <v>0.2</v>
      </c>
      <c r="BW4" s="322">
        <f>IF(BV4&lt;=0.3,3,IF(BV4&lt;=0.5,1.5,0))</f>
        <v>3</v>
      </c>
      <c r="BX4" s="652">
        <f>IF(SUM(BX5:BX6)=0,"",BX5/SUM(BX5:BX6))</f>
        <v>0</v>
      </c>
      <c r="BY4" s="322">
        <f>IF(BX4&lt;=0.3,3,IF(BX4&lt;=0.5,1.5,0))</f>
        <v>3</v>
      </c>
      <c r="BZ4" s="323">
        <f t="shared" ref="BZ4:BZ67" si="12">IF(AND(BV4=0,BX4&lt;&gt;0),1,IF(AND(BV4=0,BX4=0),0,BX4/BV4-1))</f>
        <v>-1</v>
      </c>
      <c r="CA4" s="315"/>
      <c r="CD4" s="516"/>
      <c r="CE4" s="531">
        <v>0</v>
      </c>
      <c r="CF4" s="532">
        <f t="shared" ref="CF4:CF9" si="13">$M4</f>
        <v>2.5499999999999998</v>
      </c>
      <c r="CG4" s="531">
        <v>0</v>
      </c>
      <c r="CH4" s="532">
        <f t="shared" ref="CH4:CH9" si="14">$M4</f>
        <v>2.5499999999999998</v>
      </c>
      <c r="CI4" s="531">
        <v>0</v>
      </c>
      <c r="CJ4" s="532">
        <f t="shared" ref="CJ4:CJ9" si="15">$M4</f>
        <v>2.5499999999999998</v>
      </c>
      <c r="CK4" s="531">
        <v>0</v>
      </c>
      <c r="CL4" s="532">
        <f t="shared" ref="CL4:CL9" si="16">$M4</f>
        <v>2.5499999999999998</v>
      </c>
      <c r="CM4" s="531">
        <v>0</v>
      </c>
      <c r="CN4" s="532">
        <f t="shared" ref="CN4:CN9" si="17">$M4</f>
        <v>2.5499999999999998</v>
      </c>
      <c r="CO4" s="531">
        <v>0</v>
      </c>
      <c r="CP4" s="532">
        <f t="shared" ref="CP4:CP9" si="18">$M4</f>
        <v>2.5499999999999998</v>
      </c>
      <c r="CQ4" s="531">
        <v>0</v>
      </c>
      <c r="CR4" s="532">
        <f t="shared" ref="CR4:CR35" si="19">$M4</f>
        <v>2.5499999999999998</v>
      </c>
      <c r="CS4" s="516">
        <f>SUM(CE4:CQ4)</f>
        <v>15.3</v>
      </c>
      <c r="CT4" s="313"/>
      <c r="CU4" s="313"/>
      <c r="CV4" s="313"/>
      <c r="CW4" s="313"/>
      <c r="CX4" s="313"/>
      <c r="CY4" s="313"/>
      <c r="CZ4" s="313"/>
      <c r="DA4" s="313"/>
      <c r="DB4" s="313"/>
      <c r="DC4" s="313"/>
    </row>
    <row r="5" spans="1:107" s="2" customFormat="1" ht="28.5">
      <c r="A5" s="1574"/>
      <c r="B5" s="1572"/>
      <c r="C5" s="385">
        <v>1.1000000000000001</v>
      </c>
      <c r="D5" s="1043" t="s">
        <v>1207</v>
      </c>
      <c r="E5" s="492" t="s">
        <v>1208</v>
      </c>
      <c r="F5" s="328" t="s">
        <v>1209</v>
      </c>
      <c r="G5" s="327"/>
      <c r="H5" s="326"/>
      <c r="I5" s="384"/>
      <c r="J5" s="658">
        <f t="shared" ref="J5:J14" si="20">AVERAGE(BV5,BP5,BJ5,BD5,AX5,AR5,AL5,AF5,Z5,T5)</f>
        <v>0.6</v>
      </c>
      <c r="K5" s="664"/>
      <c r="L5" s="658">
        <f t="shared" ref="L5:L14" si="21">AVERAGE(BX5,BR5,BL5,BF5,AZ5,AT5,AN5,AH5,AB5,V5)</f>
        <v>0.9</v>
      </c>
      <c r="M5" s="511"/>
      <c r="N5" s="512">
        <f t="shared" ref="N5:N68" si="22">M5-K5</f>
        <v>0</v>
      </c>
      <c r="O5" s="510">
        <f t="shared" si="2"/>
        <v>0</v>
      </c>
      <c r="P5" s="510">
        <f t="shared" ref="P5:P68" si="23">O5*0.7</f>
        <v>0</v>
      </c>
      <c r="Q5" s="833">
        <f t="shared" ref="Q5:Q68" si="24">P5/9</f>
        <v>0</v>
      </c>
      <c r="R5" s="832">
        <f t="shared" ref="R5:R68" si="25">Q5/2</f>
        <v>0</v>
      </c>
      <c r="S5" s="520"/>
      <c r="T5" s="330">
        <v>0</v>
      </c>
      <c r="U5" s="623"/>
      <c r="V5" s="330">
        <v>0</v>
      </c>
      <c r="W5" s="623"/>
      <c r="X5" s="323">
        <f t="shared" si="3"/>
        <v>0</v>
      </c>
      <c r="Y5" s="520"/>
      <c r="Z5" s="330">
        <v>0</v>
      </c>
      <c r="AA5" s="623"/>
      <c r="AB5" s="330">
        <v>1</v>
      </c>
      <c r="AC5" s="623"/>
      <c r="AD5" s="323">
        <f t="shared" si="4"/>
        <v>1</v>
      </c>
      <c r="AE5" s="520"/>
      <c r="AF5" s="330">
        <v>0</v>
      </c>
      <c r="AG5" s="623"/>
      <c r="AH5" s="330">
        <v>0</v>
      </c>
      <c r="AI5" s="623"/>
      <c r="AJ5" s="323">
        <f t="shared" si="5"/>
        <v>0</v>
      </c>
      <c r="AK5" s="520"/>
      <c r="AL5" s="330">
        <v>0</v>
      </c>
      <c r="AM5" s="623"/>
      <c r="AN5" s="330">
        <v>0</v>
      </c>
      <c r="AO5" s="623"/>
      <c r="AP5" s="323">
        <f t="shared" si="6"/>
        <v>0</v>
      </c>
      <c r="AQ5" s="520"/>
      <c r="AR5" s="1044">
        <v>0</v>
      </c>
      <c r="AS5" s="623"/>
      <c r="AT5" s="330">
        <v>1</v>
      </c>
      <c r="AU5" s="623"/>
      <c r="AV5" s="323">
        <f t="shared" si="7"/>
        <v>1</v>
      </c>
      <c r="AW5" s="520"/>
      <c r="AX5" s="330">
        <v>3</v>
      </c>
      <c r="AY5" s="623"/>
      <c r="AZ5" s="330">
        <v>4</v>
      </c>
      <c r="BA5" s="623"/>
      <c r="BB5" s="323">
        <f t="shared" si="8"/>
        <v>0.33333333333333326</v>
      </c>
      <c r="BC5" s="520"/>
      <c r="BD5" s="330">
        <v>0</v>
      </c>
      <c r="BE5" s="623"/>
      <c r="BF5" s="330">
        <v>1</v>
      </c>
      <c r="BG5" s="623"/>
      <c r="BH5" s="323">
        <f t="shared" si="9"/>
        <v>1</v>
      </c>
      <c r="BI5" s="520"/>
      <c r="BJ5" s="330">
        <v>0</v>
      </c>
      <c r="BK5" s="623"/>
      <c r="BL5" s="330">
        <v>0</v>
      </c>
      <c r="BM5" s="623"/>
      <c r="BN5" s="323">
        <f t="shared" si="10"/>
        <v>0</v>
      </c>
      <c r="BO5" s="520"/>
      <c r="BP5" s="330">
        <v>2</v>
      </c>
      <c r="BQ5" s="623"/>
      <c r="BR5" s="330">
        <v>2</v>
      </c>
      <c r="BS5" s="623"/>
      <c r="BT5" s="323">
        <f t="shared" si="11"/>
        <v>0</v>
      </c>
      <c r="BU5" s="520"/>
      <c r="BV5" s="330">
        <v>1</v>
      </c>
      <c r="BW5" s="623"/>
      <c r="BX5" s="330">
        <v>0</v>
      </c>
      <c r="BY5" s="623"/>
      <c r="BZ5" s="323">
        <f t="shared" si="12"/>
        <v>-1</v>
      </c>
      <c r="CA5" s="315"/>
      <c r="CD5" s="516"/>
      <c r="CE5" s="531">
        <v>0</v>
      </c>
      <c r="CF5" s="532">
        <f t="shared" si="13"/>
        <v>0</v>
      </c>
      <c r="CG5" s="531">
        <v>0</v>
      </c>
      <c r="CH5" s="532">
        <f t="shared" si="14"/>
        <v>0</v>
      </c>
      <c r="CI5" s="531">
        <v>0</v>
      </c>
      <c r="CJ5" s="532">
        <f t="shared" si="15"/>
        <v>0</v>
      </c>
      <c r="CK5" s="531">
        <v>0</v>
      </c>
      <c r="CL5" s="532">
        <f t="shared" si="16"/>
        <v>0</v>
      </c>
      <c r="CM5" s="531">
        <v>0</v>
      </c>
      <c r="CN5" s="532">
        <f t="shared" si="17"/>
        <v>0</v>
      </c>
      <c r="CO5" s="531">
        <v>0</v>
      </c>
      <c r="CP5" s="532">
        <f t="shared" si="18"/>
        <v>0</v>
      </c>
      <c r="CQ5" s="531">
        <v>0</v>
      </c>
      <c r="CR5" s="532">
        <f t="shared" si="19"/>
        <v>0</v>
      </c>
      <c r="CS5" s="516">
        <f t="shared" ref="CS5:CS68" si="26">SUM(CE5:CQ5)</f>
        <v>0</v>
      </c>
      <c r="CT5" s="313"/>
      <c r="CU5" s="313"/>
      <c r="CV5" s="313"/>
      <c r="CW5" s="313"/>
      <c r="CX5" s="313"/>
      <c r="CY5" s="313"/>
      <c r="CZ5" s="313"/>
      <c r="DA5" s="313"/>
      <c r="DB5" s="313"/>
      <c r="DC5" s="313"/>
    </row>
    <row r="6" spans="1:107" s="2" customFormat="1" ht="28.5">
      <c r="A6" s="1575"/>
      <c r="B6" s="1572"/>
      <c r="C6" s="385">
        <v>1.2</v>
      </c>
      <c r="D6" s="1043" t="s">
        <v>1210</v>
      </c>
      <c r="E6" s="492" t="s">
        <v>1208</v>
      </c>
      <c r="F6" s="328" t="s">
        <v>1209</v>
      </c>
      <c r="G6" s="327"/>
      <c r="H6" s="326"/>
      <c r="I6" s="384"/>
      <c r="J6" s="658">
        <f t="shared" si="20"/>
        <v>5.7</v>
      </c>
      <c r="K6" s="664"/>
      <c r="L6" s="658">
        <f t="shared" si="21"/>
        <v>5.3</v>
      </c>
      <c r="M6" s="511"/>
      <c r="N6" s="512">
        <f t="shared" si="22"/>
        <v>0</v>
      </c>
      <c r="O6" s="510">
        <f t="shared" si="2"/>
        <v>0</v>
      </c>
      <c r="P6" s="510">
        <f t="shared" si="23"/>
        <v>0</v>
      </c>
      <c r="Q6" s="833">
        <f t="shared" si="24"/>
        <v>0</v>
      </c>
      <c r="R6" s="832">
        <f t="shared" si="25"/>
        <v>0</v>
      </c>
      <c r="S6" s="520"/>
      <c r="T6" s="330">
        <v>4</v>
      </c>
      <c r="U6" s="623"/>
      <c r="V6" s="330">
        <v>4</v>
      </c>
      <c r="W6" s="623"/>
      <c r="X6" s="323">
        <f t="shared" si="3"/>
        <v>0</v>
      </c>
      <c r="Y6" s="520"/>
      <c r="Z6" s="330">
        <v>4</v>
      </c>
      <c r="AA6" s="623"/>
      <c r="AB6" s="330">
        <v>2</v>
      </c>
      <c r="AC6" s="623"/>
      <c r="AD6" s="323">
        <f t="shared" si="4"/>
        <v>-0.5</v>
      </c>
      <c r="AE6" s="520"/>
      <c r="AF6" s="330">
        <v>10</v>
      </c>
      <c r="AG6" s="623"/>
      <c r="AH6" s="330">
        <v>9</v>
      </c>
      <c r="AI6" s="623"/>
      <c r="AJ6" s="323">
        <f t="shared" si="5"/>
        <v>-9.9999999999999978E-2</v>
      </c>
      <c r="AK6" s="520"/>
      <c r="AL6" s="330">
        <v>2</v>
      </c>
      <c r="AM6" s="623"/>
      <c r="AN6" s="330">
        <v>2</v>
      </c>
      <c r="AO6" s="623"/>
      <c r="AP6" s="323">
        <f t="shared" si="6"/>
        <v>0</v>
      </c>
      <c r="AQ6" s="520"/>
      <c r="AR6" s="330">
        <v>6</v>
      </c>
      <c r="AS6" s="623"/>
      <c r="AT6" s="330">
        <v>6</v>
      </c>
      <c r="AU6" s="623"/>
      <c r="AV6" s="323">
        <f t="shared" si="7"/>
        <v>0</v>
      </c>
      <c r="AW6" s="520"/>
      <c r="AX6" s="330">
        <v>12</v>
      </c>
      <c r="AY6" s="623"/>
      <c r="AZ6" s="330">
        <v>12</v>
      </c>
      <c r="BA6" s="623"/>
      <c r="BB6" s="323">
        <f t="shared" si="8"/>
        <v>0</v>
      </c>
      <c r="BC6" s="520"/>
      <c r="BD6" s="330">
        <v>2</v>
      </c>
      <c r="BE6" s="623"/>
      <c r="BF6" s="330">
        <v>1</v>
      </c>
      <c r="BG6" s="623"/>
      <c r="BH6" s="323">
        <f t="shared" si="9"/>
        <v>-0.5</v>
      </c>
      <c r="BI6" s="520"/>
      <c r="BJ6" s="330">
        <v>9</v>
      </c>
      <c r="BK6" s="623"/>
      <c r="BL6" s="330">
        <v>8</v>
      </c>
      <c r="BM6" s="623"/>
      <c r="BN6" s="323">
        <f t="shared" si="10"/>
        <v>-0.11111111111111116</v>
      </c>
      <c r="BO6" s="520"/>
      <c r="BP6" s="330">
        <v>4</v>
      </c>
      <c r="BQ6" s="623"/>
      <c r="BR6" s="330">
        <v>4</v>
      </c>
      <c r="BS6" s="623"/>
      <c r="BT6" s="323">
        <f t="shared" si="11"/>
        <v>0</v>
      </c>
      <c r="BU6" s="520"/>
      <c r="BV6" s="330">
        <v>4</v>
      </c>
      <c r="BW6" s="623"/>
      <c r="BX6" s="330">
        <v>5</v>
      </c>
      <c r="BY6" s="623"/>
      <c r="BZ6" s="323">
        <f t="shared" si="12"/>
        <v>0.25</v>
      </c>
      <c r="CA6" s="315"/>
      <c r="CD6" s="516"/>
      <c r="CE6" s="531">
        <v>0</v>
      </c>
      <c r="CF6" s="532">
        <f t="shared" si="13"/>
        <v>0</v>
      </c>
      <c r="CG6" s="531">
        <v>0</v>
      </c>
      <c r="CH6" s="532">
        <f t="shared" si="14"/>
        <v>0</v>
      </c>
      <c r="CI6" s="531">
        <v>0</v>
      </c>
      <c r="CJ6" s="532">
        <f t="shared" si="15"/>
        <v>0</v>
      </c>
      <c r="CK6" s="531">
        <v>0</v>
      </c>
      <c r="CL6" s="532">
        <f t="shared" si="16"/>
        <v>0</v>
      </c>
      <c r="CM6" s="531">
        <v>0</v>
      </c>
      <c r="CN6" s="532">
        <f t="shared" si="17"/>
        <v>0</v>
      </c>
      <c r="CO6" s="531">
        <v>0</v>
      </c>
      <c r="CP6" s="532">
        <f t="shared" si="18"/>
        <v>0</v>
      </c>
      <c r="CQ6" s="531">
        <v>0</v>
      </c>
      <c r="CR6" s="532">
        <f t="shared" si="19"/>
        <v>0</v>
      </c>
      <c r="CS6" s="516">
        <f t="shared" si="26"/>
        <v>0</v>
      </c>
      <c r="CT6" s="313"/>
      <c r="CU6" s="313"/>
      <c r="CV6" s="313"/>
      <c r="CW6" s="313"/>
      <c r="CX6" s="313"/>
      <c r="CY6" s="313"/>
      <c r="CZ6" s="313"/>
      <c r="DA6" s="313"/>
      <c r="DB6" s="313"/>
      <c r="DC6" s="313"/>
    </row>
    <row r="7" spans="1:107" s="2" customFormat="1" ht="28.5">
      <c r="A7" s="1576" t="s">
        <v>1212</v>
      </c>
      <c r="B7" s="1577" t="s">
        <v>1213</v>
      </c>
      <c r="C7" s="23">
        <v>2</v>
      </c>
      <c r="D7" s="329" t="s">
        <v>1211</v>
      </c>
      <c r="E7" s="491"/>
      <c r="F7" s="384"/>
      <c r="G7" s="384" t="s">
        <v>486</v>
      </c>
      <c r="H7" s="330" t="s">
        <v>285</v>
      </c>
      <c r="I7" s="383">
        <v>2</v>
      </c>
      <c r="J7" s="657">
        <f t="shared" si="20"/>
        <v>0.99444444444444446</v>
      </c>
      <c r="K7" s="664">
        <f>AVERAGE(BW7,BQ7,BK7,BE7,AY7,AS7,AM7,AG7,AA7,U7)</f>
        <v>2</v>
      </c>
      <c r="L7" s="657">
        <f t="shared" si="21"/>
        <v>0.99444444444444446</v>
      </c>
      <c r="M7" s="511">
        <f>AVERAGE(BY7,BS7,BM7,BG7,BA7,AU7,AO7,AI7,AC7,W7)</f>
        <v>2</v>
      </c>
      <c r="N7" s="512">
        <f t="shared" si="22"/>
        <v>0</v>
      </c>
      <c r="O7" s="510">
        <f t="shared" si="2"/>
        <v>0</v>
      </c>
      <c r="P7" s="510">
        <f t="shared" si="23"/>
        <v>0</v>
      </c>
      <c r="Q7" s="833">
        <f t="shared" si="24"/>
        <v>0</v>
      </c>
      <c r="R7" s="832">
        <f t="shared" si="25"/>
        <v>0</v>
      </c>
      <c r="S7" s="520"/>
      <c r="T7" s="652">
        <f>IF(T9=0,"",T8/T9)</f>
        <v>1</v>
      </c>
      <c r="U7" s="331">
        <f>IF(T7&gt;=0.8,2,IF(T7&gt;=50%,1,0))</f>
        <v>2</v>
      </c>
      <c r="V7" s="652">
        <f>IF(V9=0,"",V8/V9)</f>
        <v>1</v>
      </c>
      <c r="W7" s="331">
        <f>IF(V7&gt;=0.8,2,IF(V7&gt;=0.5,1,0))</f>
        <v>2</v>
      </c>
      <c r="X7" s="323">
        <f t="shared" si="3"/>
        <v>0</v>
      </c>
      <c r="Y7" s="520"/>
      <c r="Z7" s="652">
        <f>IF(Z9=0,"",Z8/Z9)</f>
        <v>1</v>
      </c>
      <c r="AA7" s="331">
        <f>IF(Z7&gt;=0.8,2,IF(Z7&gt;=50%,1,0))</f>
        <v>2</v>
      </c>
      <c r="AB7" s="652">
        <f>IF(AB9=0,"",AB8/AB9)</f>
        <v>1</v>
      </c>
      <c r="AC7" s="331">
        <f>IF(AB7&gt;=0.8,2,IF(AB7&gt;=0.5,1,0))</f>
        <v>2</v>
      </c>
      <c r="AD7" s="323">
        <f t="shared" si="4"/>
        <v>0</v>
      </c>
      <c r="AE7" s="520"/>
      <c r="AF7" s="652">
        <f>IF(AF9=0,"",AF8/AF9)</f>
        <v>1</v>
      </c>
      <c r="AG7" s="331">
        <f>IF(AF7&gt;=0.8,2,IF(AF7&gt;=50%,1,0))</f>
        <v>2</v>
      </c>
      <c r="AH7" s="652">
        <f>IF(AH9=0,"",AH8/AH9)</f>
        <v>1</v>
      </c>
      <c r="AI7" s="331">
        <f>IF(AH7&gt;=0.8,2,IF(AH7&gt;=0.5,1,0))</f>
        <v>2</v>
      </c>
      <c r="AJ7" s="323">
        <f t="shared" si="5"/>
        <v>0</v>
      </c>
      <c r="AK7" s="520"/>
      <c r="AL7" s="652">
        <f>IF(AL9=0,"",AL8/AL9)</f>
        <v>1</v>
      </c>
      <c r="AM7" s="331">
        <f>IF(AL7&gt;=0.8,2,IF(AL7&gt;=50%,1,0))</f>
        <v>2</v>
      </c>
      <c r="AN7" s="652">
        <f>IF(AN9=0,"",AN8/AN9)</f>
        <v>1</v>
      </c>
      <c r="AO7" s="331">
        <f>IF(AN7&gt;=0.8,2,IF(AN7&gt;=0.5,1,0))</f>
        <v>2</v>
      </c>
      <c r="AP7" s="323">
        <f t="shared" si="6"/>
        <v>0</v>
      </c>
      <c r="AQ7" s="520"/>
      <c r="AR7" s="652">
        <f>IF(AR9=0,"",AR8/AR9)</f>
        <v>0.94444444444444442</v>
      </c>
      <c r="AS7" s="331">
        <f>IF(AR7&gt;=0.8,2,IF(AR7&gt;=50%,1,0))</f>
        <v>2</v>
      </c>
      <c r="AT7" s="652">
        <f>IF(AT9=0,"",AT8/AT9)</f>
        <v>0.94444444444444442</v>
      </c>
      <c r="AU7" s="331">
        <f>IF(AT7&gt;=0.8,2,IF(AT7&gt;=0.5,1,0))</f>
        <v>2</v>
      </c>
      <c r="AV7" s="323">
        <f t="shared" si="7"/>
        <v>0</v>
      </c>
      <c r="AW7" s="520"/>
      <c r="AX7" s="652">
        <f>IF(AX9=0,"",AX8/AX9)</f>
        <v>1</v>
      </c>
      <c r="AY7" s="331">
        <f>IF(AX7&gt;=0.8,2,IF(AX7&gt;=50%,1,0))</f>
        <v>2</v>
      </c>
      <c r="AZ7" s="652">
        <f>IF(AZ9=0,"",AZ8/AZ9)</f>
        <v>1</v>
      </c>
      <c r="BA7" s="331">
        <f>IF(AZ7&gt;=0.8,2,IF(AZ7&gt;=0.5,1,0))</f>
        <v>2</v>
      </c>
      <c r="BB7" s="323">
        <f t="shared" si="8"/>
        <v>0</v>
      </c>
      <c r="BC7" s="520"/>
      <c r="BD7" s="652">
        <f>IF(BD9=0,"",BD8/BD9)</f>
        <v>1</v>
      </c>
      <c r="BE7" s="331">
        <f>IF(BD7&gt;=0.8,2,IF(BD7&gt;=50%,1,0))</f>
        <v>2</v>
      </c>
      <c r="BF7" s="652">
        <f>IF(BF9=0,"",BF8/BF9)</f>
        <v>1</v>
      </c>
      <c r="BG7" s="331">
        <f>IF(BF7&gt;=0.8,2,IF(BF7&gt;=0.5,1,0))</f>
        <v>2</v>
      </c>
      <c r="BH7" s="323">
        <f t="shared" si="9"/>
        <v>0</v>
      </c>
      <c r="BI7" s="520"/>
      <c r="BJ7" s="652">
        <f>IF(BJ9=0,"",BJ8/BJ9)</f>
        <v>1</v>
      </c>
      <c r="BK7" s="331">
        <f>IF(BJ7&gt;=0.8,2,IF(BJ7&gt;=50%,1,0))</f>
        <v>2</v>
      </c>
      <c r="BL7" s="652">
        <f>IF(BL9=0,"",BL8/BL9)</f>
        <v>1</v>
      </c>
      <c r="BM7" s="331">
        <f>IF(BL7&gt;=0.8,2,IF(BL7&gt;=0.5,1,0))</f>
        <v>2</v>
      </c>
      <c r="BN7" s="323">
        <f t="shared" si="10"/>
        <v>0</v>
      </c>
      <c r="BO7" s="520"/>
      <c r="BP7" s="652">
        <f>IF(BP9=0,"",BP8/BP9)</f>
        <v>1</v>
      </c>
      <c r="BQ7" s="331">
        <f>IF(BP7&gt;=0.8,2,IF(BP7&gt;=50%,1,0))</f>
        <v>2</v>
      </c>
      <c r="BR7" s="652">
        <f>IF(BR9=0,"",BR8/BR9)</f>
        <v>1</v>
      </c>
      <c r="BS7" s="331">
        <f>IF(BR7&gt;=0.8,2,IF(BR7&gt;=0.5,1,0))</f>
        <v>2</v>
      </c>
      <c r="BT7" s="323">
        <f t="shared" si="11"/>
        <v>0</v>
      </c>
      <c r="BU7" s="520"/>
      <c r="BV7" s="652">
        <f>IF(BV9=0,"",BV8/BV9)</f>
        <v>1</v>
      </c>
      <c r="BW7" s="331">
        <f>IF(BV7&gt;=0.8,2,IF(BV7&gt;=50%,1,0))</f>
        <v>2</v>
      </c>
      <c r="BX7" s="652">
        <f>IF(BX9=0,"",BX8/BX9)</f>
        <v>1</v>
      </c>
      <c r="BY7" s="331">
        <f>IF(BX7&gt;=0.8,2,IF(BX7&gt;=0.5,1,0))</f>
        <v>2</v>
      </c>
      <c r="BZ7" s="323">
        <f t="shared" si="12"/>
        <v>0</v>
      </c>
      <c r="CA7" s="315"/>
      <c r="CD7" s="516"/>
      <c r="CE7" s="531">
        <v>1</v>
      </c>
      <c r="CF7" s="532">
        <f t="shared" si="13"/>
        <v>2</v>
      </c>
      <c r="CG7" s="531">
        <v>1</v>
      </c>
      <c r="CH7" s="532">
        <f t="shared" si="14"/>
        <v>2</v>
      </c>
      <c r="CI7" s="531">
        <v>1</v>
      </c>
      <c r="CJ7" s="532">
        <f t="shared" si="15"/>
        <v>2</v>
      </c>
      <c r="CK7" s="531">
        <v>1</v>
      </c>
      <c r="CL7" s="532">
        <f t="shared" si="16"/>
        <v>2</v>
      </c>
      <c r="CM7" s="531">
        <v>0</v>
      </c>
      <c r="CN7" s="532">
        <f t="shared" si="17"/>
        <v>2</v>
      </c>
      <c r="CO7" s="531">
        <v>1</v>
      </c>
      <c r="CP7" s="532">
        <f t="shared" si="18"/>
        <v>2</v>
      </c>
      <c r="CQ7" s="531">
        <v>0</v>
      </c>
      <c r="CR7" s="532">
        <f t="shared" si="19"/>
        <v>2</v>
      </c>
      <c r="CS7" s="516">
        <f t="shared" si="26"/>
        <v>17</v>
      </c>
      <c r="CT7" s="313"/>
      <c r="CU7" s="313"/>
      <c r="CV7" s="313"/>
      <c r="CW7" s="313"/>
      <c r="CX7" s="313"/>
      <c r="CY7" s="313"/>
      <c r="CZ7" s="313"/>
      <c r="DA7" s="313"/>
      <c r="DB7" s="313"/>
      <c r="DC7" s="313"/>
    </row>
    <row r="8" spans="1:107" s="2" customFormat="1" ht="42.75">
      <c r="A8" s="1568"/>
      <c r="B8" s="1572"/>
      <c r="C8" s="385">
        <v>2.1</v>
      </c>
      <c r="D8" s="325" t="s">
        <v>1214</v>
      </c>
      <c r="E8" s="492" t="s">
        <v>1215</v>
      </c>
      <c r="F8" s="327"/>
      <c r="G8" s="327"/>
      <c r="H8" s="326"/>
      <c r="I8" s="384"/>
      <c r="J8" s="658">
        <f t="shared" si="20"/>
        <v>11.2</v>
      </c>
      <c r="K8" s="664"/>
      <c r="L8" s="658">
        <f t="shared" si="21"/>
        <v>11.1</v>
      </c>
      <c r="M8" s="511"/>
      <c r="N8" s="512">
        <f t="shared" si="22"/>
        <v>0</v>
      </c>
      <c r="O8" s="510">
        <f t="shared" si="2"/>
        <v>0</v>
      </c>
      <c r="P8" s="510">
        <f t="shared" si="23"/>
        <v>0</v>
      </c>
      <c r="Q8" s="833">
        <f t="shared" si="24"/>
        <v>0</v>
      </c>
      <c r="R8" s="832">
        <f t="shared" si="25"/>
        <v>0</v>
      </c>
      <c r="S8" s="520"/>
      <c r="T8" s="330">
        <v>6</v>
      </c>
      <c r="U8" s="623"/>
      <c r="V8" s="330">
        <v>6</v>
      </c>
      <c r="W8" s="623"/>
      <c r="X8" s="323">
        <f t="shared" si="3"/>
        <v>0</v>
      </c>
      <c r="Y8" s="520"/>
      <c r="Z8" s="330">
        <v>9</v>
      </c>
      <c r="AA8" s="623"/>
      <c r="AB8" s="330">
        <v>6</v>
      </c>
      <c r="AC8" s="623"/>
      <c r="AD8" s="323">
        <f t="shared" si="4"/>
        <v>-0.33333333333333337</v>
      </c>
      <c r="AE8" s="520"/>
      <c r="AF8" s="330">
        <v>17</v>
      </c>
      <c r="AG8" s="623"/>
      <c r="AH8" s="330">
        <v>17</v>
      </c>
      <c r="AI8" s="623"/>
      <c r="AJ8" s="323">
        <f t="shared" si="5"/>
        <v>0</v>
      </c>
      <c r="AK8" s="520"/>
      <c r="AL8" s="330">
        <v>3</v>
      </c>
      <c r="AM8" s="623"/>
      <c r="AN8" s="330">
        <v>3</v>
      </c>
      <c r="AO8" s="623"/>
      <c r="AP8" s="323">
        <f t="shared" si="6"/>
        <v>0</v>
      </c>
      <c r="AQ8" s="520"/>
      <c r="AR8" s="330">
        <v>17</v>
      </c>
      <c r="AS8" s="623"/>
      <c r="AT8" s="330">
        <v>17</v>
      </c>
      <c r="AU8" s="623"/>
      <c r="AV8" s="323">
        <f t="shared" si="7"/>
        <v>0</v>
      </c>
      <c r="AW8" s="520"/>
      <c r="AX8" s="330">
        <v>18</v>
      </c>
      <c r="AY8" s="623"/>
      <c r="AZ8" s="330">
        <v>18</v>
      </c>
      <c r="BA8" s="623"/>
      <c r="BB8" s="323">
        <f t="shared" si="8"/>
        <v>0</v>
      </c>
      <c r="BC8" s="520"/>
      <c r="BD8" s="330">
        <v>5</v>
      </c>
      <c r="BE8" s="623"/>
      <c r="BF8" s="330">
        <v>4</v>
      </c>
      <c r="BG8" s="623"/>
      <c r="BH8" s="323">
        <f t="shared" si="9"/>
        <v>-0.19999999999999996</v>
      </c>
      <c r="BI8" s="520"/>
      <c r="BJ8" s="330">
        <v>16</v>
      </c>
      <c r="BK8" s="623"/>
      <c r="BL8" s="330">
        <v>15</v>
      </c>
      <c r="BM8" s="623"/>
      <c r="BN8" s="323">
        <f t="shared" si="10"/>
        <v>-6.25E-2</v>
      </c>
      <c r="BO8" s="520"/>
      <c r="BP8" s="330">
        <v>11</v>
      </c>
      <c r="BQ8" s="623"/>
      <c r="BR8" s="330">
        <v>12</v>
      </c>
      <c r="BS8" s="623"/>
      <c r="BT8" s="323">
        <f t="shared" si="11"/>
        <v>9.0909090909090828E-2</v>
      </c>
      <c r="BU8" s="520"/>
      <c r="BV8" s="330">
        <v>10</v>
      </c>
      <c r="BW8" s="623"/>
      <c r="BX8" s="330">
        <v>13</v>
      </c>
      <c r="BY8" s="623"/>
      <c r="BZ8" s="323">
        <f t="shared" si="12"/>
        <v>0.30000000000000004</v>
      </c>
      <c r="CA8" s="315"/>
      <c r="CD8" s="516"/>
      <c r="CE8" s="531">
        <v>0</v>
      </c>
      <c r="CF8" s="532">
        <f t="shared" si="13"/>
        <v>0</v>
      </c>
      <c r="CG8" s="531">
        <v>0</v>
      </c>
      <c r="CH8" s="532">
        <f t="shared" si="14"/>
        <v>0</v>
      </c>
      <c r="CI8" s="531">
        <v>0</v>
      </c>
      <c r="CJ8" s="532">
        <f t="shared" si="15"/>
        <v>0</v>
      </c>
      <c r="CK8" s="531">
        <v>0</v>
      </c>
      <c r="CL8" s="532">
        <f t="shared" si="16"/>
        <v>0</v>
      </c>
      <c r="CM8" s="531">
        <v>0</v>
      </c>
      <c r="CN8" s="532">
        <f t="shared" si="17"/>
        <v>0</v>
      </c>
      <c r="CO8" s="531">
        <v>0</v>
      </c>
      <c r="CP8" s="532">
        <f t="shared" si="18"/>
        <v>0</v>
      </c>
      <c r="CQ8" s="531">
        <v>0</v>
      </c>
      <c r="CR8" s="532">
        <f t="shared" si="19"/>
        <v>0</v>
      </c>
      <c r="CS8" s="516">
        <f t="shared" si="26"/>
        <v>0</v>
      </c>
      <c r="CT8" s="313"/>
      <c r="CU8" s="313"/>
      <c r="CV8" s="313"/>
      <c r="CW8" s="313"/>
      <c r="CX8" s="313"/>
      <c r="CY8" s="313"/>
      <c r="CZ8" s="313"/>
      <c r="DA8" s="313"/>
      <c r="DB8" s="313"/>
      <c r="DC8" s="313"/>
    </row>
    <row r="9" spans="1:107" s="2" customFormat="1" ht="28.5">
      <c r="A9" s="1568"/>
      <c r="B9" s="1572"/>
      <c r="C9" s="385">
        <v>2.2000000000000002</v>
      </c>
      <c r="D9" s="325" t="s">
        <v>1216</v>
      </c>
      <c r="E9" s="492" t="s">
        <v>1215</v>
      </c>
      <c r="F9" s="327"/>
      <c r="G9" s="327"/>
      <c r="H9" s="326"/>
      <c r="I9" s="384"/>
      <c r="J9" s="658">
        <f t="shared" si="20"/>
        <v>11.3</v>
      </c>
      <c r="K9" s="664"/>
      <c r="L9" s="658">
        <f t="shared" si="21"/>
        <v>11.2</v>
      </c>
      <c r="M9" s="511"/>
      <c r="N9" s="512">
        <f t="shared" si="22"/>
        <v>0</v>
      </c>
      <c r="O9" s="510">
        <f t="shared" si="2"/>
        <v>0</v>
      </c>
      <c r="P9" s="510">
        <f t="shared" si="23"/>
        <v>0</v>
      </c>
      <c r="Q9" s="833">
        <f t="shared" si="24"/>
        <v>0</v>
      </c>
      <c r="R9" s="832">
        <f t="shared" si="25"/>
        <v>0</v>
      </c>
      <c r="S9" s="520"/>
      <c r="T9" s="330">
        <v>6</v>
      </c>
      <c r="U9" s="623"/>
      <c r="V9" s="330">
        <v>6</v>
      </c>
      <c r="W9" s="623"/>
      <c r="X9" s="323">
        <f t="shared" si="3"/>
        <v>0</v>
      </c>
      <c r="Y9" s="520"/>
      <c r="Z9" s="330">
        <v>9</v>
      </c>
      <c r="AA9" s="623"/>
      <c r="AB9" s="330">
        <v>6</v>
      </c>
      <c r="AC9" s="623"/>
      <c r="AD9" s="323">
        <f t="shared" si="4"/>
        <v>-0.33333333333333337</v>
      </c>
      <c r="AE9" s="520"/>
      <c r="AF9" s="330">
        <v>17</v>
      </c>
      <c r="AG9" s="623"/>
      <c r="AH9" s="330">
        <v>17</v>
      </c>
      <c r="AI9" s="623"/>
      <c r="AJ9" s="323">
        <f t="shared" si="5"/>
        <v>0</v>
      </c>
      <c r="AK9" s="520"/>
      <c r="AL9" s="330">
        <v>3</v>
      </c>
      <c r="AM9" s="623"/>
      <c r="AN9" s="330">
        <v>3</v>
      </c>
      <c r="AO9" s="623"/>
      <c r="AP9" s="323">
        <f t="shared" si="6"/>
        <v>0</v>
      </c>
      <c r="AQ9" s="520"/>
      <c r="AR9" s="330">
        <v>18</v>
      </c>
      <c r="AS9" s="623"/>
      <c r="AT9" s="330">
        <v>18</v>
      </c>
      <c r="AU9" s="623"/>
      <c r="AV9" s="323">
        <f t="shared" si="7"/>
        <v>0</v>
      </c>
      <c r="AW9" s="520"/>
      <c r="AX9" s="330">
        <v>18</v>
      </c>
      <c r="AY9" s="623"/>
      <c r="AZ9" s="330">
        <v>18</v>
      </c>
      <c r="BA9" s="623"/>
      <c r="BB9" s="323">
        <f t="shared" si="8"/>
        <v>0</v>
      </c>
      <c r="BC9" s="520"/>
      <c r="BD9" s="330">
        <v>5</v>
      </c>
      <c r="BE9" s="623"/>
      <c r="BF9" s="330">
        <v>4</v>
      </c>
      <c r="BG9" s="623"/>
      <c r="BH9" s="323">
        <f t="shared" si="9"/>
        <v>-0.19999999999999996</v>
      </c>
      <c r="BI9" s="520"/>
      <c r="BJ9" s="330">
        <v>16</v>
      </c>
      <c r="BK9" s="623"/>
      <c r="BL9" s="330">
        <v>15</v>
      </c>
      <c r="BM9" s="623"/>
      <c r="BN9" s="323">
        <f t="shared" si="10"/>
        <v>-6.25E-2</v>
      </c>
      <c r="BO9" s="520"/>
      <c r="BP9" s="330">
        <v>11</v>
      </c>
      <c r="BQ9" s="623"/>
      <c r="BR9" s="330">
        <v>12</v>
      </c>
      <c r="BS9" s="623"/>
      <c r="BT9" s="323">
        <f t="shared" si="11"/>
        <v>9.0909090909090828E-2</v>
      </c>
      <c r="BU9" s="520"/>
      <c r="BV9" s="330">
        <v>10</v>
      </c>
      <c r="BW9" s="623"/>
      <c r="BX9" s="330">
        <v>13</v>
      </c>
      <c r="BY9" s="623"/>
      <c r="BZ9" s="323">
        <f t="shared" si="12"/>
        <v>0.30000000000000004</v>
      </c>
      <c r="CA9" s="315"/>
      <c r="CD9" s="516"/>
      <c r="CE9" s="531">
        <v>0</v>
      </c>
      <c r="CF9" s="532">
        <f t="shared" si="13"/>
        <v>0</v>
      </c>
      <c r="CG9" s="531">
        <v>0</v>
      </c>
      <c r="CH9" s="532">
        <f t="shared" si="14"/>
        <v>0</v>
      </c>
      <c r="CI9" s="531">
        <v>0</v>
      </c>
      <c r="CJ9" s="532">
        <f t="shared" si="15"/>
        <v>0</v>
      </c>
      <c r="CK9" s="531">
        <v>0</v>
      </c>
      <c r="CL9" s="532">
        <f t="shared" si="16"/>
        <v>0</v>
      </c>
      <c r="CM9" s="531">
        <v>0</v>
      </c>
      <c r="CN9" s="532">
        <f t="shared" si="17"/>
        <v>0</v>
      </c>
      <c r="CO9" s="531">
        <v>0</v>
      </c>
      <c r="CP9" s="532">
        <f t="shared" si="18"/>
        <v>0</v>
      </c>
      <c r="CQ9" s="531">
        <v>0</v>
      </c>
      <c r="CR9" s="532">
        <f t="shared" si="19"/>
        <v>0</v>
      </c>
      <c r="CS9" s="516">
        <f t="shared" si="26"/>
        <v>0</v>
      </c>
      <c r="CT9" s="313"/>
      <c r="CU9" s="313"/>
      <c r="CV9" s="313"/>
      <c r="CW9" s="313"/>
      <c r="CX9" s="313"/>
      <c r="CY9" s="313"/>
      <c r="CZ9" s="313"/>
      <c r="DA9" s="313"/>
      <c r="DB9" s="313"/>
      <c r="DC9" s="313"/>
    </row>
    <row r="10" spans="1:107" s="2" customFormat="1">
      <c r="A10" s="1567" t="s">
        <v>1217</v>
      </c>
      <c r="B10" s="1569" t="s">
        <v>1218</v>
      </c>
      <c r="C10" s="23">
        <v>3</v>
      </c>
      <c r="D10" s="1024" t="s">
        <v>2104</v>
      </c>
      <c r="E10" s="491"/>
      <c r="F10" s="384"/>
      <c r="G10" s="384" t="s">
        <v>489</v>
      </c>
      <c r="H10" s="330" t="s">
        <v>285</v>
      </c>
      <c r="I10" s="383">
        <v>3</v>
      </c>
      <c r="J10" s="657">
        <f t="shared" si="20"/>
        <v>0.2304549964797496</v>
      </c>
      <c r="K10" s="664">
        <f>AVERAGE(BW10,BQ10,BK10,BE10,AY10,AS10,AM10,AG10,AA10,U10)</f>
        <v>1.8</v>
      </c>
      <c r="L10" s="657">
        <f t="shared" si="21"/>
        <v>0.25114971490398635</v>
      </c>
      <c r="M10" s="511">
        <f>AVERAGE(BY10,BS10,BM10,BG10,BA10,AU10,AO10,AI10,AC10,W10)</f>
        <v>1.5</v>
      </c>
      <c r="N10" s="512">
        <f t="shared" si="22"/>
        <v>-0.30000000000000004</v>
      </c>
      <c r="O10" s="510">
        <f t="shared" si="2"/>
        <v>1.5</v>
      </c>
      <c r="P10" s="510">
        <f t="shared" si="23"/>
        <v>1.0499999999999998</v>
      </c>
      <c r="Q10" s="833">
        <f t="shared" si="24"/>
        <v>0.11666666666666664</v>
      </c>
      <c r="R10" s="832">
        <f t="shared" si="25"/>
        <v>5.833333333333332E-2</v>
      </c>
      <c r="S10" s="520"/>
      <c r="T10" s="653">
        <f>IF(SUM(T12:T13)=0,"",T11/SUM(T12:T13))</f>
        <v>0.12962962962962962</v>
      </c>
      <c r="U10" s="322">
        <f>IF(T10&lt;=0.15,3,IF(T10&lt;=0.3,1.5,0))</f>
        <v>3</v>
      </c>
      <c r="V10" s="653">
        <f>IF(SUM(V12:V13)=0,"",V11/SUM(V12:V13))</f>
        <v>0.16363636363636364</v>
      </c>
      <c r="W10" s="1052">
        <f>IF(V10&lt;=0.15,3,IF(V10&lt;=0.3,1.5,0))</f>
        <v>1.5</v>
      </c>
      <c r="X10" s="323">
        <f t="shared" si="3"/>
        <v>0.26233766233766231</v>
      </c>
      <c r="Y10" s="520"/>
      <c r="Z10" s="653">
        <f>IF(SUM(Z12:Z13)=0,"",Z11/SUM(Z12:Z13))</f>
        <v>0.12422360248447205</v>
      </c>
      <c r="AA10" s="332">
        <f>IF(Z10&lt;=0.15,3,IF(Z10&lt;=0.3,1.5,0))</f>
        <v>3</v>
      </c>
      <c r="AB10" s="653">
        <f>IF(SUM(AB12:AB13)=0,"",AB11/SUM(AB12:AB13))</f>
        <v>0.19875776397515527</v>
      </c>
      <c r="AC10" s="332">
        <f>IF(AB10&lt;=0.15,3,IF(AB10&lt;=0.3,1.5,0))</f>
        <v>1.5</v>
      </c>
      <c r="AD10" s="323">
        <f t="shared" si="4"/>
        <v>0.59999999999999987</v>
      </c>
      <c r="AE10" s="520"/>
      <c r="AF10" s="653">
        <f>IF(SUM(AF12:AF13)=0,"",AF11/SUM(AF12:AF13))</f>
        <v>0.13274336283185842</v>
      </c>
      <c r="AG10" s="332">
        <f>IF(AF10&lt;=0.15,3,IF(AF10&lt;=0.3,1.5,0))</f>
        <v>3</v>
      </c>
      <c r="AH10" s="653">
        <f>IF(SUM(AH12:AH13)=0,"",AH11/SUM(AH12:AH13))</f>
        <v>0.13675213675213677</v>
      </c>
      <c r="AI10" s="332">
        <f>IF(AH10&lt;=0.15,3,IF(AH10&lt;=0.3,1.5,0))</f>
        <v>3</v>
      </c>
      <c r="AJ10" s="323">
        <f t="shared" si="5"/>
        <v>3.0199430199430166E-2</v>
      </c>
      <c r="AK10" s="520"/>
      <c r="AL10" s="653">
        <f>IF(SUM(AL12:AL13)=0,"",AL11/SUM(AL12:AL13))</f>
        <v>0.28000000000000003</v>
      </c>
      <c r="AM10" s="332">
        <f>IF(AL10&lt;=0.15,3,IF(AL10&lt;=0.3,1.5,0))</f>
        <v>1.5</v>
      </c>
      <c r="AN10" s="653">
        <f>IF(SUM(AN12:AN13)=0,"",AN11/SUM(AN12:AN13))</f>
        <v>0.26785714285714285</v>
      </c>
      <c r="AO10" s="332">
        <f>IF(AN10&lt;=0.15,3,IF(AN10&lt;=0.3,1.5,0))</f>
        <v>1.5</v>
      </c>
      <c r="AP10" s="323">
        <f t="shared" si="6"/>
        <v>-4.3367346938775642E-2</v>
      </c>
      <c r="AQ10" s="520"/>
      <c r="AR10" s="653">
        <f>IF(SUM(AR12:AR13)=0,"",AR11/SUM(AR12:AR13))</f>
        <v>0.22368421052631579</v>
      </c>
      <c r="AS10" s="332">
        <f>IF(AR10&lt;=0.15,3,IF(AR10&lt;=0.3,1.5,0))</f>
        <v>1.5</v>
      </c>
      <c r="AT10" s="653">
        <f>IF(SUM(AT12:AT13)=0,"",AT11/SUM(AT12:AT13))</f>
        <v>0.1891891891891892</v>
      </c>
      <c r="AU10" s="332">
        <f>IF(AT10&lt;=0.15,3,IF(AT10&lt;=0.3,1.5,0))</f>
        <v>1.5</v>
      </c>
      <c r="AV10" s="323">
        <f t="shared" si="7"/>
        <v>-0.15421303656597773</v>
      </c>
      <c r="AW10" s="520"/>
      <c r="AX10" s="653">
        <f>IF(SUM(AX12:AX13)=0,"",AX11/SUM(AX12:AX13))</f>
        <v>0.26141078838174275</v>
      </c>
      <c r="AY10" s="332">
        <f>IF(AX10&lt;=0.15,3,IF(AX10&lt;=0.3,1.5,0))</f>
        <v>1.5</v>
      </c>
      <c r="AZ10" s="653">
        <f>IF(SUM(AZ12:AZ13)=0,"",AZ11/SUM(AZ12:AZ13))</f>
        <v>0.27160493827160492</v>
      </c>
      <c r="BA10" s="332">
        <f>IF(AZ10&lt;=0.15,3,IF(AZ10&lt;=0.3,1.5,0))</f>
        <v>1.5</v>
      </c>
      <c r="BB10" s="323">
        <f t="shared" si="8"/>
        <v>3.8996668626298137E-2</v>
      </c>
      <c r="BC10" s="520"/>
      <c r="BD10" s="653">
        <f>IF(SUM(BD12:BD13)=0,"",BD11/SUM(BD12:BD13))</f>
        <v>0.18181818181818182</v>
      </c>
      <c r="BE10" s="332">
        <f>IF(BD10&lt;=0.15,3,IF(BD10&lt;=0.3,1.5,0))</f>
        <v>1.5</v>
      </c>
      <c r="BF10" s="653">
        <f>IF(SUM(BF12:BF13)=0,"",BF11/SUM(BF12:BF13))</f>
        <v>0.2608695652173913</v>
      </c>
      <c r="BG10" s="332">
        <f>IF(BF10&lt;=0.15,3,IF(BF10&lt;=0.3,1.5,0))</f>
        <v>1.5</v>
      </c>
      <c r="BH10" s="323">
        <f t="shared" si="9"/>
        <v>0.43478260869565211</v>
      </c>
      <c r="BI10" s="520"/>
      <c r="BJ10" s="653">
        <f>IF(SUM(BJ12:BJ13)=0,"",BJ11/SUM(BJ12:BJ13))</f>
        <v>0.27659574468085107</v>
      </c>
      <c r="BK10" s="332">
        <f>IF(BJ10&lt;=0.15,3,IF(BJ10&lt;=0.3,1.5,0))</f>
        <v>1.5</v>
      </c>
      <c r="BL10" s="653">
        <f>IF(SUM(BL12:BL13)=0,"",BL11/SUM(BL12:BL13))</f>
        <v>0.24878048780487805</v>
      </c>
      <c r="BM10" s="332">
        <f>IF(BL10&lt;=0.15,3,IF(BL10&lt;=0.3,1.5,0))</f>
        <v>1.5</v>
      </c>
      <c r="BN10" s="323">
        <f t="shared" si="10"/>
        <v>-0.10056285178236402</v>
      </c>
      <c r="BO10" s="520"/>
      <c r="BP10" s="653">
        <f>IF(SUM(BP12:BP13)=0,"",BP11/SUM(BP12:BP13))</f>
        <v>0.44444444444444442</v>
      </c>
      <c r="BQ10" s="332">
        <f>IF(BP10&lt;=0.15,3,IF(BP10&lt;=0.3,1.5,0))</f>
        <v>0</v>
      </c>
      <c r="BR10" s="653">
        <f>IF(SUM(BR12:BR13)=0,"",BR11/SUM(BR12:BR13))</f>
        <v>0.49315068493150682</v>
      </c>
      <c r="BS10" s="332">
        <f>IF(BR10&lt;=0.15,3,IF(BR10&lt;=0.3,1.5,0))</f>
        <v>0</v>
      </c>
      <c r="BT10" s="323">
        <f t="shared" si="11"/>
        <v>0.1095890410958904</v>
      </c>
      <c r="BU10" s="520"/>
      <c r="BV10" s="653">
        <f>IF(SUM(BV12:BV13)=0,"",BV11/SUM(BV12:BV13))</f>
        <v>0.25</v>
      </c>
      <c r="BW10" s="332">
        <f>IF(BV10&lt;=0.15,3,IF(BV10&lt;=0.3,1.5,0))</f>
        <v>1.5</v>
      </c>
      <c r="BX10" s="653">
        <f>IF(SUM(BX12:BX13)=0,"",BX11/SUM(BX12:BX13))</f>
        <v>0.2808988764044944</v>
      </c>
      <c r="BY10" s="332">
        <f>IF(BX10&lt;=0.15,3,IF(BX10&lt;=0.3,1.5,0))</f>
        <v>1.5</v>
      </c>
      <c r="BZ10" s="323">
        <f t="shared" si="12"/>
        <v>0.12359550561797761</v>
      </c>
      <c r="CA10" s="315"/>
      <c r="CD10" s="516" t="s">
        <v>1640</v>
      </c>
      <c r="CE10" s="531">
        <v>1</v>
      </c>
      <c r="CF10" s="533">
        <v>2.4</v>
      </c>
      <c r="CG10" s="531">
        <v>1</v>
      </c>
      <c r="CH10" s="533">
        <v>1.65</v>
      </c>
      <c r="CI10" s="531">
        <v>1</v>
      </c>
      <c r="CJ10" s="533">
        <v>1.5</v>
      </c>
      <c r="CK10" s="531">
        <v>1</v>
      </c>
      <c r="CL10" s="533">
        <v>0.75</v>
      </c>
      <c r="CM10" s="531">
        <v>0</v>
      </c>
      <c r="CN10" s="533">
        <v>2</v>
      </c>
      <c r="CO10" s="531">
        <v>1</v>
      </c>
      <c r="CP10" s="533">
        <v>2.25</v>
      </c>
      <c r="CQ10" s="531">
        <v>0</v>
      </c>
      <c r="CR10" s="532">
        <f t="shared" si="19"/>
        <v>1.5</v>
      </c>
      <c r="CS10" s="516">
        <f t="shared" si="26"/>
        <v>15.55</v>
      </c>
      <c r="CT10" s="313"/>
      <c r="CU10" s="313"/>
      <c r="CV10" s="313"/>
      <c r="CW10" s="313"/>
      <c r="CX10" s="313"/>
      <c r="CY10" s="313"/>
      <c r="CZ10" s="313"/>
      <c r="DA10" s="313"/>
      <c r="DB10" s="313"/>
      <c r="DC10" s="313"/>
    </row>
    <row r="11" spans="1:107" s="2" customFormat="1" ht="28.5">
      <c r="A11" s="1568"/>
      <c r="B11" s="1572"/>
      <c r="C11" s="385">
        <v>3.1</v>
      </c>
      <c r="D11" s="1043" t="s">
        <v>1219</v>
      </c>
      <c r="E11" s="492" t="s">
        <v>1208</v>
      </c>
      <c r="F11" s="328" t="s">
        <v>1209</v>
      </c>
      <c r="G11" s="327"/>
      <c r="H11" s="326"/>
      <c r="I11" s="384"/>
      <c r="J11" s="658">
        <f t="shared" si="20"/>
        <v>26.5</v>
      </c>
      <c r="K11" s="664"/>
      <c r="L11" s="658">
        <f t="shared" si="21"/>
        <v>29</v>
      </c>
      <c r="M11" s="511"/>
      <c r="N11" s="512">
        <f t="shared" si="22"/>
        <v>0</v>
      </c>
      <c r="O11" s="510">
        <f t="shared" si="2"/>
        <v>0</v>
      </c>
      <c r="P11" s="510">
        <f t="shared" si="23"/>
        <v>0</v>
      </c>
      <c r="Q11" s="833">
        <f t="shared" si="24"/>
        <v>0</v>
      </c>
      <c r="R11" s="832">
        <f t="shared" si="25"/>
        <v>0</v>
      </c>
      <c r="S11" s="520"/>
      <c r="T11" s="330">
        <v>7</v>
      </c>
      <c r="U11" s="623"/>
      <c r="V11" s="330">
        <v>9</v>
      </c>
      <c r="W11" s="623"/>
      <c r="X11" s="323">
        <f t="shared" si="3"/>
        <v>0.28571428571428581</v>
      </c>
      <c r="Y11" s="520"/>
      <c r="Z11" s="330">
        <v>20</v>
      </c>
      <c r="AA11" s="623"/>
      <c r="AB11" s="330">
        <v>32</v>
      </c>
      <c r="AC11" s="623"/>
      <c r="AD11" s="323">
        <f t="shared" si="4"/>
        <v>0.60000000000000009</v>
      </c>
      <c r="AE11" s="520"/>
      <c r="AF11" s="330">
        <v>15</v>
      </c>
      <c r="AG11" s="623"/>
      <c r="AH11" s="330">
        <v>16</v>
      </c>
      <c r="AI11" s="623"/>
      <c r="AJ11" s="323">
        <f t="shared" si="5"/>
        <v>6.6666666666666652E-2</v>
      </c>
      <c r="AK11" s="520"/>
      <c r="AL11" s="330">
        <v>14</v>
      </c>
      <c r="AM11" s="623"/>
      <c r="AN11" s="330">
        <v>15</v>
      </c>
      <c r="AO11" s="623"/>
      <c r="AP11" s="323">
        <f t="shared" si="6"/>
        <v>7.1428571428571397E-2</v>
      </c>
      <c r="AQ11" s="520"/>
      <c r="AR11" s="330">
        <v>34</v>
      </c>
      <c r="AS11" s="623"/>
      <c r="AT11" s="330">
        <v>28</v>
      </c>
      <c r="AU11" s="623"/>
      <c r="AV11" s="323">
        <f t="shared" si="7"/>
        <v>-0.17647058823529416</v>
      </c>
      <c r="AW11" s="520"/>
      <c r="AX11" s="330">
        <v>63</v>
      </c>
      <c r="AY11" s="623"/>
      <c r="AZ11" s="330">
        <v>66</v>
      </c>
      <c r="BA11" s="623"/>
      <c r="BB11" s="323">
        <f t="shared" si="8"/>
        <v>4.7619047619047672E-2</v>
      </c>
      <c r="BC11" s="520"/>
      <c r="BD11" s="330">
        <v>8</v>
      </c>
      <c r="BE11" s="623"/>
      <c r="BF11" s="330">
        <v>12</v>
      </c>
      <c r="BG11" s="623"/>
      <c r="BH11" s="323">
        <f t="shared" si="9"/>
        <v>0.5</v>
      </c>
      <c r="BI11" s="520"/>
      <c r="BJ11" s="330">
        <v>52</v>
      </c>
      <c r="BK11" s="623"/>
      <c r="BL11" s="330">
        <v>51</v>
      </c>
      <c r="BM11" s="623"/>
      <c r="BN11" s="323">
        <f t="shared" si="10"/>
        <v>-1.9230769230769273E-2</v>
      </c>
      <c r="BO11" s="520"/>
      <c r="BP11" s="330">
        <v>32</v>
      </c>
      <c r="BQ11" s="623"/>
      <c r="BR11" s="330">
        <v>36</v>
      </c>
      <c r="BS11" s="623"/>
      <c r="BT11" s="323">
        <f t="shared" si="11"/>
        <v>0.125</v>
      </c>
      <c r="BU11" s="520"/>
      <c r="BV11" s="330">
        <v>20</v>
      </c>
      <c r="BW11" s="623"/>
      <c r="BX11" s="330">
        <v>25</v>
      </c>
      <c r="BY11" s="623"/>
      <c r="BZ11" s="323">
        <f t="shared" si="12"/>
        <v>0.25</v>
      </c>
      <c r="CA11" s="315"/>
      <c r="CD11" s="516"/>
      <c r="CE11" s="531">
        <v>0</v>
      </c>
      <c r="CF11" s="532">
        <f t="shared" ref="CF11:CF42" si="27">$M11</f>
        <v>0</v>
      </c>
      <c r="CG11" s="531">
        <v>0</v>
      </c>
      <c r="CH11" s="532">
        <f t="shared" ref="CH11:CH27" si="28">$M11</f>
        <v>0</v>
      </c>
      <c r="CI11" s="531">
        <v>0</v>
      </c>
      <c r="CJ11" s="532">
        <f t="shared" ref="CJ11:CJ27" si="29">$M11</f>
        <v>0</v>
      </c>
      <c r="CK11" s="531">
        <v>0</v>
      </c>
      <c r="CL11" s="532">
        <f t="shared" ref="CL11:CL27" si="30">$M11</f>
        <v>0</v>
      </c>
      <c r="CM11" s="531">
        <v>0</v>
      </c>
      <c r="CN11" s="532">
        <f t="shared" ref="CN11:CN27" si="31">$M11</f>
        <v>0</v>
      </c>
      <c r="CO11" s="531">
        <v>0</v>
      </c>
      <c r="CP11" s="532">
        <f t="shared" ref="CP11:CP27" si="32">$M11</f>
        <v>0</v>
      </c>
      <c r="CQ11" s="531">
        <v>0</v>
      </c>
      <c r="CR11" s="532">
        <f t="shared" si="19"/>
        <v>0</v>
      </c>
      <c r="CS11" s="516">
        <f t="shared" si="26"/>
        <v>0</v>
      </c>
      <c r="CT11" s="313"/>
      <c r="CU11" s="313"/>
      <c r="CV11" s="313"/>
      <c r="CW11" s="313"/>
      <c r="CX11" s="313"/>
      <c r="CY11" s="313"/>
      <c r="CZ11" s="313"/>
      <c r="DA11" s="313"/>
      <c r="DB11" s="313"/>
      <c r="DC11" s="313"/>
    </row>
    <row r="12" spans="1:107" s="2" customFormat="1" ht="28.5">
      <c r="A12" s="1568"/>
      <c r="B12" s="1572"/>
      <c r="C12" s="385">
        <v>3.2</v>
      </c>
      <c r="D12" s="1043" t="s">
        <v>1220</v>
      </c>
      <c r="E12" s="492" t="s">
        <v>1208</v>
      </c>
      <c r="F12" s="328" t="s">
        <v>1209</v>
      </c>
      <c r="G12" s="327"/>
      <c r="H12" s="326"/>
      <c r="I12" s="384"/>
      <c r="J12" s="658">
        <f t="shared" si="20"/>
        <v>84.7</v>
      </c>
      <c r="K12" s="664"/>
      <c r="L12" s="658">
        <f t="shared" si="21"/>
        <v>84</v>
      </c>
      <c r="M12" s="511"/>
      <c r="N12" s="512">
        <f t="shared" si="22"/>
        <v>0</v>
      </c>
      <c r="O12" s="510">
        <f t="shared" si="2"/>
        <v>0</v>
      </c>
      <c r="P12" s="510">
        <f t="shared" si="23"/>
        <v>0</v>
      </c>
      <c r="Q12" s="833">
        <f t="shared" si="24"/>
        <v>0</v>
      </c>
      <c r="R12" s="832">
        <f t="shared" si="25"/>
        <v>0</v>
      </c>
      <c r="S12" s="520"/>
      <c r="T12" s="330">
        <v>44</v>
      </c>
      <c r="U12" s="623"/>
      <c r="V12" s="330">
        <v>43</v>
      </c>
      <c r="W12" s="623"/>
      <c r="X12" s="323">
        <f t="shared" si="3"/>
        <v>-2.2727272727272707E-2</v>
      </c>
      <c r="Y12" s="520"/>
      <c r="Z12" s="330">
        <v>135</v>
      </c>
      <c r="AA12" s="623"/>
      <c r="AB12" s="330">
        <v>134</v>
      </c>
      <c r="AC12" s="623"/>
      <c r="AD12" s="323">
        <f t="shared" si="4"/>
        <v>-7.4074074074074181E-3</v>
      </c>
      <c r="AE12" s="520"/>
      <c r="AF12" s="330">
        <v>95</v>
      </c>
      <c r="AG12" s="623"/>
      <c r="AH12" s="330">
        <v>96</v>
      </c>
      <c r="AI12" s="623"/>
      <c r="AJ12" s="323">
        <f t="shared" si="5"/>
        <v>1.0526315789473717E-2</v>
      </c>
      <c r="AK12" s="520"/>
      <c r="AL12" s="330">
        <v>38</v>
      </c>
      <c r="AM12" s="623"/>
      <c r="AN12" s="330">
        <v>34</v>
      </c>
      <c r="AO12" s="623"/>
      <c r="AP12" s="323">
        <f t="shared" si="6"/>
        <v>-0.10526315789473684</v>
      </c>
      <c r="AQ12" s="520"/>
      <c r="AR12" s="330">
        <v>109</v>
      </c>
      <c r="AS12" s="623"/>
      <c r="AT12" s="330">
        <v>105</v>
      </c>
      <c r="AU12" s="623"/>
      <c r="AV12" s="323">
        <f t="shared" si="7"/>
        <v>-3.669724770642202E-2</v>
      </c>
      <c r="AW12" s="520"/>
      <c r="AX12" s="330">
        <v>169</v>
      </c>
      <c r="AY12" s="623"/>
      <c r="AZ12" s="330">
        <v>167</v>
      </c>
      <c r="BA12" s="623"/>
      <c r="BB12" s="323">
        <f t="shared" si="8"/>
        <v>-1.1834319526627168E-2</v>
      </c>
      <c r="BC12" s="520"/>
      <c r="BD12" s="330">
        <v>31</v>
      </c>
      <c r="BE12" s="623"/>
      <c r="BF12" s="330">
        <v>31</v>
      </c>
      <c r="BG12" s="623"/>
      <c r="BH12" s="323">
        <f t="shared" si="9"/>
        <v>0</v>
      </c>
      <c r="BI12" s="520"/>
      <c r="BJ12" s="330">
        <v>135</v>
      </c>
      <c r="BK12" s="623"/>
      <c r="BL12" s="330">
        <v>131</v>
      </c>
      <c r="BM12" s="623"/>
      <c r="BN12" s="323">
        <f t="shared" si="10"/>
        <v>-2.9629629629629672E-2</v>
      </c>
      <c r="BO12" s="520"/>
      <c r="BP12" s="330">
        <v>41</v>
      </c>
      <c r="BQ12" s="623"/>
      <c r="BR12" s="330">
        <v>48</v>
      </c>
      <c r="BS12" s="623"/>
      <c r="BT12" s="323">
        <f t="shared" si="11"/>
        <v>0.1707317073170731</v>
      </c>
      <c r="BU12" s="520"/>
      <c r="BV12" s="330">
        <v>50</v>
      </c>
      <c r="BW12" s="623"/>
      <c r="BX12" s="330">
        <v>51</v>
      </c>
      <c r="BY12" s="623"/>
      <c r="BZ12" s="323">
        <f t="shared" si="12"/>
        <v>2.0000000000000018E-2</v>
      </c>
      <c r="CA12" s="315"/>
      <c r="CD12" s="516"/>
      <c r="CE12" s="531">
        <v>0</v>
      </c>
      <c r="CF12" s="532">
        <f t="shared" si="27"/>
        <v>0</v>
      </c>
      <c r="CG12" s="531">
        <v>0</v>
      </c>
      <c r="CH12" s="532">
        <f t="shared" si="28"/>
        <v>0</v>
      </c>
      <c r="CI12" s="531">
        <v>0</v>
      </c>
      <c r="CJ12" s="532">
        <f t="shared" si="29"/>
        <v>0</v>
      </c>
      <c r="CK12" s="531">
        <v>0</v>
      </c>
      <c r="CL12" s="532">
        <f t="shared" si="30"/>
        <v>0</v>
      </c>
      <c r="CM12" s="531">
        <v>0</v>
      </c>
      <c r="CN12" s="532">
        <f t="shared" si="31"/>
        <v>0</v>
      </c>
      <c r="CO12" s="531">
        <v>0</v>
      </c>
      <c r="CP12" s="532">
        <f t="shared" si="32"/>
        <v>0</v>
      </c>
      <c r="CQ12" s="531">
        <v>0</v>
      </c>
      <c r="CR12" s="532">
        <f t="shared" si="19"/>
        <v>0</v>
      </c>
      <c r="CS12" s="516">
        <f t="shared" si="26"/>
        <v>0</v>
      </c>
      <c r="CT12" s="313"/>
      <c r="CU12" s="313"/>
      <c r="CV12" s="313"/>
      <c r="CW12" s="313"/>
      <c r="CX12" s="313"/>
      <c r="CY12" s="313"/>
      <c r="CZ12" s="313"/>
      <c r="DA12" s="313"/>
      <c r="DB12" s="313"/>
      <c r="DC12" s="313"/>
    </row>
    <row r="13" spans="1:107" s="2" customFormat="1" ht="28.5">
      <c r="A13" s="1568"/>
      <c r="B13" s="1572"/>
      <c r="C13" s="385">
        <v>3.3</v>
      </c>
      <c r="D13" s="1043" t="s">
        <v>1221</v>
      </c>
      <c r="E13" s="492" t="s">
        <v>1208</v>
      </c>
      <c r="F13" s="328" t="s">
        <v>1209</v>
      </c>
      <c r="G13" s="327"/>
      <c r="H13" s="326"/>
      <c r="I13" s="384"/>
      <c r="J13" s="658">
        <f t="shared" si="20"/>
        <v>30.8</v>
      </c>
      <c r="K13" s="664"/>
      <c r="L13" s="658">
        <f t="shared" si="21"/>
        <v>35.299999999999997</v>
      </c>
      <c r="M13" s="511"/>
      <c r="N13" s="512">
        <f t="shared" si="22"/>
        <v>0</v>
      </c>
      <c r="O13" s="510">
        <f t="shared" si="2"/>
        <v>0</v>
      </c>
      <c r="P13" s="510">
        <f t="shared" si="23"/>
        <v>0</v>
      </c>
      <c r="Q13" s="833">
        <f t="shared" si="24"/>
        <v>0</v>
      </c>
      <c r="R13" s="832">
        <f t="shared" si="25"/>
        <v>0</v>
      </c>
      <c r="S13" s="520"/>
      <c r="T13" s="330">
        <v>10</v>
      </c>
      <c r="U13" s="623"/>
      <c r="V13" s="330">
        <v>12</v>
      </c>
      <c r="W13" s="623"/>
      <c r="X13" s="323">
        <f t="shared" si="3"/>
        <v>0.19999999999999996</v>
      </c>
      <c r="Y13" s="520"/>
      <c r="Z13" s="330">
        <v>26</v>
      </c>
      <c r="AA13" s="623"/>
      <c r="AB13" s="330">
        <v>27</v>
      </c>
      <c r="AC13" s="623"/>
      <c r="AD13" s="323">
        <f t="shared" si="4"/>
        <v>3.8461538461538547E-2</v>
      </c>
      <c r="AE13" s="520"/>
      <c r="AF13" s="330">
        <v>18</v>
      </c>
      <c r="AG13" s="623"/>
      <c r="AH13" s="330">
        <v>21</v>
      </c>
      <c r="AI13" s="623"/>
      <c r="AJ13" s="323">
        <f t="shared" si="5"/>
        <v>0.16666666666666674</v>
      </c>
      <c r="AK13" s="520"/>
      <c r="AL13" s="330">
        <v>12</v>
      </c>
      <c r="AM13" s="623"/>
      <c r="AN13" s="330">
        <v>22</v>
      </c>
      <c r="AO13" s="623"/>
      <c r="AP13" s="323">
        <f t="shared" si="6"/>
        <v>0.83333333333333326</v>
      </c>
      <c r="AQ13" s="520"/>
      <c r="AR13" s="330">
        <v>43</v>
      </c>
      <c r="AS13" s="623"/>
      <c r="AT13" s="330">
        <v>43</v>
      </c>
      <c r="AU13" s="623"/>
      <c r="AV13" s="323">
        <f t="shared" si="7"/>
        <v>0</v>
      </c>
      <c r="AW13" s="520"/>
      <c r="AX13" s="330">
        <v>72</v>
      </c>
      <c r="AY13" s="623"/>
      <c r="AZ13" s="330">
        <v>76</v>
      </c>
      <c r="BA13" s="623"/>
      <c r="BB13" s="323">
        <f t="shared" si="8"/>
        <v>5.555555555555558E-2</v>
      </c>
      <c r="BC13" s="520"/>
      <c r="BD13" s="330">
        <v>13</v>
      </c>
      <c r="BE13" s="623"/>
      <c r="BF13" s="330">
        <v>15</v>
      </c>
      <c r="BG13" s="623"/>
      <c r="BH13" s="323">
        <f t="shared" si="9"/>
        <v>0.15384615384615374</v>
      </c>
      <c r="BI13" s="520"/>
      <c r="BJ13" s="330">
        <v>53</v>
      </c>
      <c r="BK13" s="623"/>
      <c r="BL13" s="330">
        <v>74</v>
      </c>
      <c r="BM13" s="623"/>
      <c r="BN13" s="323">
        <f t="shared" si="10"/>
        <v>0.39622641509433953</v>
      </c>
      <c r="BO13" s="520"/>
      <c r="BP13" s="330">
        <v>31</v>
      </c>
      <c r="BQ13" s="623"/>
      <c r="BR13" s="330">
        <v>25</v>
      </c>
      <c r="BS13" s="623"/>
      <c r="BT13" s="323">
        <f t="shared" si="11"/>
        <v>-0.19354838709677424</v>
      </c>
      <c r="BU13" s="520"/>
      <c r="BV13" s="330">
        <v>30</v>
      </c>
      <c r="BW13" s="623"/>
      <c r="BX13" s="330">
        <v>38</v>
      </c>
      <c r="BY13" s="623"/>
      <c r="BZ13" s="323">
        <f t="shared" si="12"/>
        <v>0.26666666666666661</v>
      </c>
      <c r="CA13" s="315"/>
      <c r="CD13" s="516"/>
      <c r="CE13" s="531">
        <v>0</v>
      </c>
      <c r="CF13" s="532">
        <f t="shared" si="27"/>
        <v>0</v>
      </c>
      <c r="CG13" s="531">
        <v>0</v>
      </c>
      <c r="CH13" s="532">
        <f t="shared" si="28"/>
        <v>0</v>
      </c>
      <c r="CI13" s="531">
        <v>0</v>
      </c>
      <c r="CJ13" s="532">
        <f t="shared" si="29"/>
        <v>0</v>
      </c>
      <c r="CK13" s="531">
        <v>0</v>
      </c>
      <c r="CL13" s="532">
        <f t="shared" si="30"/>
        <v>0</v>
      </c>
      <c r="CM13" s="531">
        <v>0</v>
      </c>
      <c r="CN13" s="532">
        <f t="shared" si="31"/>
        <v>0</v>
      </c>
      <c r="CO13" s="531">
        <v>0</v>
      </c>
      <c r="CP13" s="532">
        <f t="shared" si="32"/>
        <v>0</v>
      </c>
      <c r="CQ13" s="531">
        <v>0</v>
      </c>
      <c r="CR13" s="532">
        <f t="shared" si="19"/>
        <v>0</v>
      </c>
      <c r="CS13" s="516">
        <f t="shared" si="26"/>
        <v>0</v>
      </c>
      <c r="CT13" s="313"/>
      <c r="CU13" s="313"/>
      <c r="CV13" s="313"/>
      <c r="CW13" s="313"/>
      <c r="CX13" s="313"/>
      <c r="CY13" s="313"/>
      <c r="CZ13" s="313"/>
      <c r="DA13" s="313"/>
      <c r="DB13" s="313"/>
      <c r="DC13" s="313"/>
    </row>
    <row r="14" spans="1:107" s="2" customFormat="1">
      <c r="A14" s="396" t="s">
        <v>1223</v>
      </c>
      <c r="B14" s="397" t="s">
        <v>1224</v>
      </c>
      <c r="C14" s="23">
        <v>4</v>
      </c>
      <c r="D14" s="329" t="s">
        <v>1222</v>
      </c>
      <c r="E14" s="492" t="s">
        <v>1215</v>
      </c>
      <c r="F14" s="336"/>
      <c r="G14" s="336" t="s">
        <v>1225</v>
      </c>
      <c r="H14" s="334" t="s">
        <v>285</v>
      </c>
      <c r="I14" s="383">
        <v>3</v>
      </c>
      <c r="J14" s="658">
        <f t="shared" si="20"/>
        <v>4.3</v>
      </c>
      <c r="K14" s="664">
        <f>AVERAGE(BW14,BQ14,BK14,BE14,AY14,AS14,AM14,AG14,AA14,U14)</f>
        <v>3</v>
      </c>
      <c r="L14" s="658">
        <f t="shared" si="21"/>
        <v>4.4000000000000004</v>
      </c>
      <c r="M14" s="511">
        <f>AVERAGE(BY14,BS14,BM14,BG14,BA14,AU14,AO14,AI14,AC14,W14)</f>
        <v>3</v>
      </c>
      <c r="N14" s="512">
        <f t="shared" si="22"/>
        <v>0</v>
      </c>
      <c r="O14" s="510">
        <f t="shared" si="2"/>
        <v>0</v>
      </c>
      <c r="P14" s="510">
        <f t="shared" si="23"/>
        <v>0</v>
      </c>
      <c r="Q14" s="833">
        <f t="shared" si="24"/>
        <v>0</v>
      </c>
      <c r="R14" s="832">
        <f t="shared" si="25"/>
        <v>0</v>
      </c>
      <c r="S14" s="520"/>
      <c r="T14" s="330">
        <v>3</v>
      </c>
      <c r="U14" s="623">
        <f>IF(T14&gt;=3,3,IF(T14&gt;0,1.5,0))</f>
        <v>3</v>
      </c>
      <c r="V14" s="330">
        <v>3</v>
      </c>
      <c r="W14" s="623">
        <v>3</v>
      </c>
      <c r="X14" s="323">
        <f t="shared" si="3"/>
        <v>0</v>
      </c>
      <c r="Y14" s="520"/>
      <c r="Z14" s="330">
        <v>4</v>
      </c>
      <c r="AA14" s="623">
        <f>IF(Z14&gt;=3,3,IF(Z14&gt;0,1.5,0))</f>
        <v>3</v>
      </c>
      <c r="AB14" s="330">
        <v>4</v>
      </c>
      <c r="AC14" s="623">
        <v>3</v>
      </c>
      <c r="AD14" s="323">
        <f t="shared" si="4"/>
        <v>0</v>
      </c>
      <c r="AE14" s="520"/>
      <c r="AF14" s="330">
        <v>5</v>
      </c>
      <c r="AG14" s="623">
        <f>IF(AF14&gt;=3,3,IF(AF14&gt;0,1.5,0))</f>
        <v>3</v>
      </c>
      <c r="AH14" s="330">
        <v>4</v>
      </c>
      <c r="AI14" s="623">
        <v>3</v>
      </c>
      <c r="AJ14" s="323">
        <f t="shared" si="5"/>
        <v>-0.19999999999999996</v>
      </c>
      <c r="AK14" s="520"/>
      <c r="AL14" s="330">
        <v>4</v>
      </c>
      <c r="AM14" s="623">
        <f>IF(AL14&gt;=3,3,IF(AL14&gt;0,1.5,0))</f>
        <v>3</v>
      </c>
      <c r="AN14" s="330">
        <v>4</v>
      </c>
      <c r="AO14" s="623">
        <v>3</v>
      </c>
      <c r="AP14" s="323">
        <f t="shared" si="6"/>
        <v>0</v>
      </c>
      <c r="AQ14" s="520"/>
      <c r="AR14" s="330">
        <v>4</v>
      </c>
      <c r="AS14" s="623">
        <f>IF(AR14&gt;=3,3,IF(AR14&gt;0,1.5,0))</f>
        <v>3</v>
      </c>
      <c r="AT14" s="330">
        <v>4</v>
      </c>
      <c r="AU14" s="623">
        <v>3</v>
      </c>
      <c r="AV14" s="323">
        <f t="shared" si="7"/>
        <v>0</v>
      </c>
      <c r="AW14" s="520"/>
      <c r="AX14" s="330">
        <v>4</v>
      </c>
      <c r="AY14" s="623">
        <f>IF(AX14&gt;=3,3,IF(AX14&gt;0,1.5,0))</f>
        <v>3</v>
      </c>
      <c r="AZ14" s="330">
        <v>4</v>
      </c>
      <c r="BA14" s="623">
        <v>3</v>
      </c>
      <c r="BB14" s="323">
        <f t="shared" si="8"/>
        <v>0</v>
      </c>
      <c r="BC14" s="520"/>
      <c r="BD14" s="330">
        <v>4</v>
      </c>
      <c r="BE14" s="623">
        <f>IF(BD14&gt;=3,3,IF(BD14&gt;0,1.5,0))</f>
        <v>3</v>
      </c>
      <c r="BF14" s="330">
        <v>4</v>
      </c>
      <c r="BG14" s="623">
        <v>3</v>
      </c>
      <c r="BH14" s="323">
        <f t="shared" si="9"/>
        <v>0</v>
      </c>
      <c r="BI14" s="520"/>
      <c r="BJ14" s="330">
        <v>4</v>
      </c>
      <c r="BK14" s="623">
        <f>IF(BJ14&gt;=3,3,IF(BJ14&gt;0,1.5,0))</f>
        <v>3</v>
      </c>
      <c r="BL14" s="330">
        <v>4</v>
      </c>
      <c r="BM14" s="623">
        <v>3</v>
      </c>
      <c r="BN14" s="323">
        <f t="shared" si="10"/>
        <v>0</v>
      </c>
      <c r="BO14" s="520"/>
      <c r="BP14" s="330">
        <v>8</v>
      </c>
      <c r="BQ14" s="623">
        <f>IF(BP14&gt;=3,3,IF(BP14&gt;0,1.5,0))</f>
        <v>3</v>
      </c>
      <c r="BR14" s="999">
        <v>10</v>
      </c>
      <c r="BS14" s="623">
        <v>3</v>
      </c>
      <c r="BT14" s="323">
        <f t="shared" si="11"/>
        <v>0.25</v>
      </c>
      <c r="BU14" s="520"/>
      <c r="BV14" s="330">
        <v>3</v>
      </c>
      <c r="BW14" s="623">
        <f>IF(BV14&gt;=3,3,IF(BV14&gt;0,1.5,0))</f>
        <v>3</v>
      </c>
      <c r="BX14" s="330">
        <v>3</v>
      </c>
      <c r="BY14" s="623">
        <v>3</v>
      </c>
      <c r="BZ14" s="323">
        <f t="shared" si="12"/>
        <v>0</v>
      </c>
      <c r="CA14" s="315"/>
      <c r="CD14" s="516"/>
      <c r="CE14" s="531">
        <v>0</v>
      </c>
      <c r="CF14" s="532">
        <f t="shared" si="27"/>
        <v>3</v>
      </c>
      <c r="CG14" s="531">
        <v>0</v>
      </c>
      <c r="CH14" s="532">
        <f t="shared" si="28"/>
        <v>3</v>
      </c>
      <c r="CI14" s="531">
        <v>0</v>
      </c>
      <c r="CJ14" s="532">
        <f t="shared" si="29"/>
        <v>3</v>
      </c>
      <c r="CK14" s="531">
        <v>0</v>
      </c>
      <c r="CL14" s="532">
        <f t="shared" si="30"/>
        <v>3</v>
      </c>
      <c r="CM14" s="531">
        <v>0</v>
      </c>
      <c r="CN14" s="532">
        <f t="shared" si="31"/>
        <v>3</v>
      </c>
      <c r="CO14" s="531">
        <v>0</v>
      </c>
      <c r="CP14" s="532">
        <f t="shared" si="32"/>
        <v>3</v>
      </c>
      <c r="CQ14" s="531">
        <v>0</v>
      </c>
      <c r="CR14" s="532">
        <f t="shared" si="19"/>
        <v>3</v>
      </c>
      <c r="CS14" s="516">
        <f t="shared" si="26"/>
        <v>18</v>
      </c>
      <c r="CT14" s="313"/>
      <c r="CU14" s="313"/>
      <c r="CV14" s="313"/>
      <c r="CW14" s="313"/>
      <c r="CX14" s="313"/>
      <c r="CY14" s="313"/>
      <c r="CZ14" s="313"/>
      <c r="DA14" s="313"/>
      <c r="DB14" s="313"/>
      <c r="DC14" s="313"/>
    </row>
    <row r="15" spans="1:107" s="77" customFormat="1">
      <c r="A15" s="398" t="s">
        <v>1790</v>
      </c>
      <c r="B15" s="398" t="s">
        <v>1227</v>
      </c>
      <c r="C15" s="23">
        <v>5</v>
      </c>
      <c r="D15" s="79" t="s">
        <v>1226</v>
      </c>
      <c r="E15" s="492" t="s">
        <v>1208</v>
      </c>
      <c r="F15" s="496"/>
      <c r="G15" s="496" t="s">
        <v>486</v>
      </c>
      <c r="H15" s="334" t="s">
        <v>285</v>
      </c>
      <c r="I15" s="497">
        <v>4</v>
      </c>
      <c r="J15" s="659" t="s">
        <v>1228</v>
      </c>
      <c r="K15" s="664">
        <f>AVERAGE(BW15,BQ15,BK15,BE15,AY15,AS15,AM15,AG15,AA15,U15)</f>
        <v>4</v>
      </c>
      <c r="L15" s="659" t="s">
        <v>1228</v>
      </c>
      <c r="M15" s="511">
        <f>AVERAGE(BY15,BS15,BM15,BG15,BA15,AU15,AO15,AI15,AC15,W15)</f>
        <v>4</v>
      </c>
      <c r="N15" s="512">
        <f t="shared" si="22"/>
        <v>0</v>
      </c>
      <c r="O15" s="510">
        <f t="shared" si="2"/>
        <v>0</v>
      </c>
      <c r="P15" s="510">
        <f t="shared" si="23"/>
        <v>0</v>
      </c>
      <c r="Q15" s="833">
        <f t="shared" si="24"/>
        <v>0</v>
      </c>
      <c r="R15" s="832">
        <f t="shared" si="25"/>
        <v>0</v>
      </c>
      <c r="S15" s="520" t="s">
        <v>1810</v>
      </c>
      <c r="T15" s="330" t="s">
        <v>1228</v>
      </c>
      <c r="U15" s="623">
        <v>4</v>
      </c>
      <c r="V15" s="330" t="s">
        <v>1228</v>
      </c>
      <c r="W15" s="623">
        <v>4</v>
      </c>
      <c r="X15" s="323">
        <f>IF((V15=T15)=TRUE,0,1)</f>
        <v>0</v>
      </c>
      <c r="Y15" s="520"/>
      <c r="Z15" s="330" t="s">
        <v>1228</v>
      </c>
      <c r="AA15" s="623">
        <v>4</v>
      </c>
      <c r="AB15" s="330" t="s">
        <v>1228</v>
      </c>
      <c r="AC15" s="623">
        <v>4</v>
      </c>
      <c r="AD15" s="323">
        <f>IF((AB15=Z15)=TRUE,0,1)</f>
        <v>0</v>
      </c>
      <c r="AE15" s="520"/>
      <c r="AF15" s="330" t="s">
        <v>1228</v>
      </c>
      <c r="AG15" s="623">
        <v>4</v>
      </c>
      <c r="AH15" s="330" t="s">
        <v>1228</v>
      </c>
      <c r="AI15" s="623">
        <v>4</v>
      </c>
      <c r="AJ15" s="323">
        <f>IF((AH15=AF15)=TRUE,0,1)</f>
        <v>0</v>
      </c>
      <c r="AK15" s="520"/>
      <c r="AL15" s="330" t="s">
        <v>1228</v>
      </c>
      <c r="AM15" s="623">
        <v>4</v>
      </c>
      <c r="AN15" s="330" t="s">
        <v>1228</v>
      </c>
      <c r="AO15" s="623">
        <v>4</v>
      </c>
      <c r="AP15" s="323">
        <f>IF((AN15=AL15)=TRUE,0,1)</f>
        <v>0</v>
      </c>
      <c r="AQ15" s="520"/>
      <c r="AR15" s="330" t="s">
        <v>1228</v>
      </c>
      <c r="AS15" s="623">
        <v>4</v>
      </c>
      <c r="AT15" s="330" t="s">
        <v>1228</v>
      </c>
      <c r="AU15" s="623">
        <v>4</v>
      </c>
      <c r="AV15" s="323">
        <f>IF((AT15=AR15)=TRUE,0,1)</f>
        <v>0</v>
      </c>
      <c r="AW15" s="520"/>
      <c r="AX15" s="330" t="s">
        <v>1228</v>
      </c>
      <c r="AY15" s="623">
        <v>4</v>
      </c>
      <c r="AZ15" s="330" t="s">
        <v>1228</v>
      </c>
      <c r="BA15" s="623">
        <v>4</v>
      </c>
      <c r="BB15" s="323">
        <f>IF((AZ15=AX15)=TRUE,0,1)</f>
        <v>0</v>
      </c>
      <c r="BC15" s="520"/>
      <c r="BD15" s="330" t="s">
        <v>1228</v>
      </c>
      <c r="BE15" s="623">
        <v>4</v>
      </c>
      <c r="BF15" s="330" t="s">
        <v>1228</v>
      </c>
      <c r="BG15" s="623">
        <v>4</v>
      </c>
      <c r="BH15" s="323">
        <f>IF((BF15=BD15)=TRUE,0,1)</f>
        <v>0</v>
      </c>
      <c r="BI15" s="520"/>
      <c r="BJ15" s="330" t="s">
        <v>1228</v>
      </c>
      <c r="BK15" s="623">
        <v>4</v>
      </c>
      <c r="BL15" s="330" t="s">
        <v>1228</v>
      </c>
      <c r="BM15" s="623">
        <v>4</v>
      </c>
      <c r="BN15" s="323">
        <f>IF((BL15=BJ15)=TRUE,0,1)</f>
        <v>0</v>
      </c>
      <c r="BO15" s="520"/>
      <c r="BP15" s="330" t="s">
        <v>1228</v>
      </c>
      <c r="BQ15" s="623">
        <v>4</v>
      </c>
      <c r="BR15" s="330" t="s">
        <v>1228</v>
      </c>
      <c r="BS15" s="623">
        <v>4</v>
      </c>
      <c r="BT15" s="323">
        <f>IF((BR15=BP15)=TRUE,0,1)</f>
        <v>0</v>
      </c>
      <c r="BU15" s="520"/>
      <c r="BV15" s="330" t="s">
        <v>1228</v>
      </c>
      <c r="BW15" s="623">
        <v>4</v>
      </c>
      <c r="BX15" s="330" t="s">
        <v>1228</v>
      </c>
      <c r="BY15" s="623">
        <v>4</v>
      </c>
      <c r="BZ15" s="323">
        <f>IF((BX15=BV15)=TRUE,0,1)</f>
        <v>0</v>
      </c>
      <c r="CA15" s="315"/>
      <c r="CD15" s="516"/>
      <c r="CE15" s="531">
        <v>0</v>
      </c>
      <c r="CF15" s="532">
        <f t="shared" si="27"/>
        <v>4</v>
      </c>
      <c r="CG15" s="531">
        <v>0</v>
      </c>
      <c r="CH15" s="532">
        <f t="shared" si="28"/>
        <v>4</v>
      </c>
      <c r="CI15" s="531">
        <v>0</v>
      </c>
      <c r="CJ15" s="532">
        <f t="shared" si="29"/>
        <v>4</v>
      </c>
      <c r="CK15" s="531">
        <v>0</v>
      </c>
      <c r="CL15" s="532">
        <f t="shared" si="30"/>
        <v>4</v>
      </c>
      <c r="CM15" s="531">
        <v>0</v>
      </c>
      <c r="CN15" s="532">
        <f t="shared" si="31"/>
        <v>4</v>
      </c>
      <c r="CO15" s="531">
        <v>0</v>
      </c>
      <c r="CP15" s="532">
        <f t="shared" si="32"/>
        <v>4</v>
      </c>
      <c r="CQ15" s="531">
        <v>0</v>
      </c>
      <c r="CR15" s="532">
        <f t="shared" si="19"/>
        <v>4</v>
      </c>
      <c r="CS15" s="516">
        <f t="shared" si="26"/>
        <v>24</v>
      </c>
      <c r="CT15" s="313"/>
      <c r="CU15" s="313"/>
      <c r="CV15" s="313"/>
      <c r="CW15" s="313"/>
      <c r="CX15" s="313"/>
      <c r="CY15" s="313"/>
      <c r="CZ15" s="313"/>
      <c r="DA15" s="313"/>
      <c r="DB15" s="313"/>
      <c r="DC15" s="313"/>
    </row>
    <row r="16" spans="1:107" s="2" customFormat="1">
      <c r="A16" s="1570" t="s">
        <v>1230</v>
      </c>
      <c r="B16" s="1571" t="s">
        <v>2048</v>
      </c>
      <c r="C16" s="23">
        <v>6</v>
      </c>
      <c r="D16" s="329" t="s">
        <v>1229</v>
      </c>
      <c r="E16" s="491"/>
      <c r="F16" s="384"/>
      <c r="G16" s="384" t="s">
        <v>486</v>
      </c>
      <c r="H16" s="330" t="s">
        <v>285</v>
      </c>
      <c r="I16" s="383">
        <v>1</v>
      </c>
      <c r="J16" s="657">
        <f>AVERAGE(BV16,BP16,BJ16,BD16,AX16,AR16,AL16,AF16,Z16,T16)</f>
        <v>1</v>
      </c>
      <c r="K16" s="664">
        <f>AVERAGE(BW16,BQ16,BK16,BE16,AY16,AS16,AM16,AG16,AA16,U16)</f>
        <v>1</v>
      </c>
      <c r="L16" s="657">
        <f>AVERAGE(BX16,BR16,BL16,BF16,AZ16,AT16,AN16,AH16,AB16,V16)</f>
        <v>1</v>
      </c>
      <c r="M16" s="511">
        <f>AVERAGE(BY16,BS16,BM16,BG16,BA16,AU16,AO16,AI16,AC16,W16)</f>
        <v>1</v>
      </c>
      <c r="N16" s="512">
        <f t="shared" si="22"/>
        <v>0</v>
      </c>
      <c r="O16" s="510">
        <f t="shared" si="2"/>
        <v>0</v>
      </c>
      <c r="P16" s="510">
        <f t="shared" si="23"/>
        <v>0</v>
      </c>
      <c r="Q16" s="833">
        <f t="shared" si="24"/>
        <v>0</v>
      </c>
      <c r="R16" s="832">
        <f t="shared" si="25"/>
        <v>0</v>
      </c>
      <c r="S16" s="520"/>
      <c r="T16" s="653">
        <f>IF(T18=0,"",T17/T18)</f>
        <v>1</v>
      </c>
      <c r="U16" s="322">
        <f>IF(T16=1,1,0)</f>
        <v>1</v>
      </c>
      <c r="V16" s="653">
        <f>IF(V18=0,"",V17/V18)</f>
        <v>1</v>
      </c>
      <c r="W16" s="322">
        <f>IF(V16=1,1,0)</f>
        <v>1</v>
      </c>
      <c r="X16" s="323">
        <f t="shared" si="3"/>
        <v>0</v>
      </c>
      <c r="Y16" s="520"/>
      <c r="Z16" s="653">
        <f>IF(Z18=0,"",Z17/Z18)</f>
        <v>1</v>
      </c>
      <c r="AA16" s="322">
        <f>IF(Z16=1,1,0)</f>
        <v>1</v>
      </c>
      <c r="AB16" s="653">
        <f>IF(AB18=0,"",AB17/AB18)</f>
        <v>1</v>
      </c>
      <c r="AC16" s="322">
        <f>IF(AB16=1,1,0)</f>
        <v>1</v>
      </c>
      <c r="AD16" s="323">
        <f t="shared" si="4"/>
        <v>0</v>
      </c>
      <c r="AE16" s="520"/>
      <c r="AF16" s="653">
        <f>IF(AF18=0,"",AF17/AF18)</f>
        <v>1</v>
      </c>
      <c r="AG16" s="322">
        <f>IF(AF16=1,1,0)</f>
        <v>1</v>
      </c>
      <c r="AH16" s="653">
        <f>IF(AH18=0,"",AH17/AH18)</f>
        <v>1</v>
      </c>
      <c r="AI16" s="322">
        <f>IF(AH16=1,1,0)</f>
        <v>1</v>
      </c>
      <c r="AJ16" s="323">
        <f t="shared" si="5"/>
        <v>0</v>
      </c>
      <c r="AK16" s="520"/>
      <c r="AL16" s="653">
        <f>IF(AL18=0,"",AL17/AL18)</f>
        <v>1</v>
      </c>
      <c r="AM16" s="322">
        <f>IF(AL16=1,1,0)</f>
        <v>1</v>
      </c>
      <c r="AN16" s="653">
        <f>IF(AN18=0,"",AN17/AN18)</f>
        <v>1</v>
      </c>
      <c r="AO16" s="322">
        <f>IF(AN16=1,1,0)</f>
        <v>1</v>
      </c>
      <c r="AP16" s="323">
        <f t="shared" si="6"/>
        <v>0</v>
      </c>
      <c r="AQ16" s="520"/>
      <c r="AR16" s="653">
        <f>IF(AR18=0,"",AR17/AR18)</f>
        <v>1</v>
      </c>
      <c r="AS16" s="322">
        <f>IF(AR16=1,1,0)</f>
        <v>1</v>
      </c>
      <c r="AT16" s="653">
        <f>IF(AT18=0,"",AT17/AT18)</f>
        <v>1</v>
      </c>
      <c r="AU16" s="322">
        <f>IF(AT16=1,1,0)</f>
        <v>1</v>
      </c>
      <c r="AV16" s="323">
        <f t="shared" si="7"/>
        <v>0</v>
      </c>
      <c r="AW16" s="520"/>
      <c r="AX16" s="653">
        <f>IF(AX18=0,"",AX17/AX18)</f>
        <v>1</v>
      </c>
      <c r="AY16" s="322">
        <f>IF(AX16=1,1,0)</f>
        <v>1</v>
      </c>
      <c r="AZ16" s="653">
        <f>IF(AZ18=0,"",AZ17/AZ18)</f>
        <v>1</v>
      </c>
      <c r="BA16" s="322">
        <f>IF(AZ16=1,1,0)</f>
        <v>1</v>
      </c>
      <c r="BB16" s="323">
        <f t="shared" si="8"/>
        <v>0</v>
      </c>
      <c r="BC16" s="520"/>
      <c r="BD16" s="653">
        <f>IF(BD18=0,"",BD17/BD18)</f>
        <v>1</v>
      </c>
      <c r="BE16" s="322">
        <f>IF(BD16=1,1,0)</f>
        <v>1</v>
      </c>
      <c r="BF16" s="653">
        <f>IF(BF18=0,"",BF17/BF18)</f>
        <v>1</v>
      </c>
      <c r="BG16" s="322">
        <f>IF(BF16=1,1,0)</f>
        <v>1</v>
      </c>
      <c r="BH16" s="323">
        <f t="shared" si="9"/>
        <v>0</v>
      </c>
      <c r="BI16" s="520"/>
      <c r="BJ16" s="653">
        <f>IF(BJ18=0,"",BJ17/BJ18)</f>
        <v>1</v>
      </c>
      <c r="BK16" s="322">
        <f>IF(BJ16=1,1,0)</f>
        <v>1</v>
      </c>
      <c r="BL16" s="653">
        <f>IF(BL18=0,"",BL17/BL18)</f>
        <v>1</v>
      </c>
      <c r="BM16" s="322">
        <f>IF(BL16=1,1,0)</f>
        <v>1</v>
      </c>
      <c r="BN16" s="323">
        <f t="shared" si="10"/>
        <v>0</v>
      </c>
      <c r="BO16" s="520"/>
      <c r="BP16" s="653">
        <f>IF(BP18=0,"",BP17/BP18)</f>
        <v>1</v>
      </c>
      <c r="BQ16" s="322">
        <f>IF(BP16=1,1,0)</f>
        <v>1</v>
      </c>
      <c r="BR16" s="653">
        <f>IF(BR18=0,"",BR17/BR18)</f>
        <v>1</v>
      </c>
      <c r="BS16" s="322">
        <f>IF(BR16=1,1,0)</f>
        <v>1</v>
      </c>
      <c r="BT16" s="323">
        <f t="shared" si="11"/>
        <v>0</v>
      </c>
      <c r="BU16" s="520"/>
      <c r="BV16" s="653">
        <f>IF(BV18=0,"",BV17/BV18)</f>
        <v>1</v>
      </c>
      <c r="BW16" s="322">
        <f>IF(BV16=1,1,0)</f>
        <v>1</v>
      </c>
      <c r="BX16" s="653">
        <f>IF(BX18=0,"",BX17/BX18)</f>
        <v>1</v>
      </c>
      <c r="BY16" s="322">
        <f>IF(BX16=1,1,0)</f>
        <v>1</v>
      </c>
      <c r="BZ16" s="323">
        <f t="shared" si="12"/>
        <v>0</v>
      </c>
      <c r="CA16" s="315"/>
      <c r="CD16" s="516" t="s">
        <v>1639</v>
      </c>
      <c r="CE16" s="531">
        <v>0</v>
      </c>
      <c r="CF16" s="532">
        <f t="shared" si="27"/>
        <v>1</v>
      </c>
      <c r="CG16" s="531">
        <v>0</v>
      </c>
      <c r="CH16" s="532">
        <f t="shared" si="28"/>
        <v>1</v>
      </c>
      <c r="CI16" s="531">
        <v>1</v>
      </c>
      <c r="CJ16" s="532">
        <f t="shared" si="29"/>
        <v>1</v>
      </c>
      <c r="CK16" s="531">
        <v>1</v>
      </c>
      <c r="CL16" s="532">
        <f t="shared" si="30"/>
        <v>1</v>
      </c>
      <c r="CM16" s="531">
        <v>1</v>
      </c>
      <c r="CN16" s="532">
        <f t="shared" si="31"/>
        <v>1</v>
      </c>
      <c r="CO16" s="531">
        <v>0</v>
      </c>
      <c r="CP16" s="532">
        <f t="shared" si="32"/>
        <v>1</v>
      </c>
      <c r="CQ16" s="531">
        <v>0</v>
      </c>
      <c r="CR16" s="532">
        <f t="shared" si="19"/>
        <v>1</v>
      </c>
      <c r="CS16" s="516">
        <f t="shared" si="26"/>
        <v>9</v>
      </c>
      <c r="CT16" s="313"/>
      <c r="CU16" s="313"/>
      <c r="CV16" s="313"/>
      <c r="CW16" s="313"/>
      <c r="CX16" s="313"/>
      <c r="CY16" s="313"/>
      <c r="CZ16" s="313"/>
      <c r="DA16" s="313"/>
      <c r="DB16" s="313"/>
      <c r="DC16" s="313"/>
    </row>
    <row r="17" spans="1:107" s="2" customFormat="1" ht="28.5">
      <c r="A17" s="1568"/>
      <c r="B17" s="1572"/>
      <c r="C17" s="385">
        <v>6.1</v>
      </c>
      <c r="D17" s="325" t="s">
        <v>1231</v>
      </c>
      <c r="E17" s="493" t="s">
        <v>1215</v>
      </c>
      <c r="F17" s="320"/>
      <c r="G17" s="320"/>
      <c r="H17" s="335"/>
      <c r="I17" s="384"/>
      <c r="J17" s="658">
        <f t="shared" ref="J17:J33" si="33">AVERAGE(BV17,BP17,BJ17,BD17,AX17,AR17,AL17,AF17,Z17,T17)</f>
        <v>23.8</v>
      </c>
      <c r="K17" s="664"/>
      <c r="L17" s="658">
        <f>AVERAGE(BX17,BR17,BL17,BF17,AZ17,AT17,AN17,AH17,AB17,V17)</f>
        <v>23.7</v>
      </c>
      <c r="M17" s="511"/>
      <c r="N17" s="512">
        <f t="shared" si="22"/>
        <v>0</v>
      </c>
      <c r="O17" s="510">
        <f t="shared" si="2"/>
        <v>0</v>
      </c>
      <c r="P17" s="510">
        <f t="shared" si="23"/>
        <v>0</v>
      </c>
      <c r="Q17" s="833">
        <f t="shared" si="24"/>
        <v>0</v>
      </c>
      <c r="R17" s="832">
        <f t="shared" si="25"/>
        <v>0</v>
      </c>
      <c r="S17" s="520"/>
      <c r="T17" s="330">
        <v>32</v>
      </c>
      <c r="U17" s="623"/>
      <c r="V17" s="996">
        <v>15</v>
      </c>
      <c r="W17" s="623"/>
      <c r="X17" s="323">
        <f t="shared" si="3"/>
        <v>-0.53125</v>
      </c>
      <c r="Y17" s="520"/>
      <c r="Z17" s="330">
        <v>15</v>
      </c>
      <c r="AA17" s="623"/>
      <c r="AB17" s="330">
        <v>7</v>
      </c>
      <c r="AC17" s="623"/>
      <c r="AD17" s="323">
        <f t="shared" si="4"/>
        <v>-0.53333333333333333</v>
      </c>
      <c r="AE17" s="520"/>
      <c r="AF17" s="330">
        <v>23</v>
      </c>
      <c r="AG17" s="623"/>
      <c r="AH17" s="330">
        <v>25</v>
      </c>
      <c r="AI17" s="623"/>
      <c r="AJ17" s="323">
        <f t="shared" si="5"/>
        <v>8.6956521739130377E-2</v>
      </c>
      <c r="AK17" s="520"/>
      <c r="AL17" s="330">
        <v>4</v>
      </c>
      <c r="AM17" s="623"/>
      <c r="AN17" s="330">
        <v>4</v>
      </c>
      <c r="AO17" s="623"/>
      <c r="AP17" s="323">
        <f t="shared" si="6"/>
        <v>0</v>
      </c>
      <c r="AQ17" s="520"/>
      <c r="AR17" s="330">
        <v>32</v>
      </c>
      <c r="AS17" s="623"/>
      <c r="AT17" s="330">
        <v>36</v>
      </c>
      <c r="AU17" s="623"/>
      <c r="AV17" s="323">
        <f t="shared" si="7"/>
        <v>0.125</v>
      </c>
      <c r="AW17" s="520"/>
      <c r="AX17" s="330">
        <v>50</v>
      </c>
      <c r="AY17" s="623"/>
      <c r="AZ17" s="1044">
        <v>56</v>
      </c>
      <c r="BA17" s="623"/>
      <c r="BB17" s="323">
        <f t="shared" si="8"/>
        <v>0.12000000000000011</v>
      </c>
      <c r="BC17" s="520"/>
      <c r="BD17" s="330">
        <v>6</v>
      </c>
      <c r="BE17" s="623"/>
      <c r="BF17" s="330">
        <v>6</v>
      </c>
      <c r="BG17" s="623"/>
      <c r="BH17" s="323">
        <f t="shared" si="9"/>
        <v>0</v>
      </c>
      <c r="BI17" s="520"/>
      <c r="BJ17" s="330">
        <v>26</v>
      </c>
      <c r="BK17" s="623"/>
      <c r="BL17" s="330">
        <v>33</v>
      </c>
      <c r="BM17" s="623"/>
      <c r="BN17" s="323">
        <f t="shared" si="10"/>
        <v>0.26923076923076916</v>
      </c>
      <c r="BO17" s="520"/>
      <c r="BP17" s="330">
        <v>12</v>
      </c>
      <c r="BQ17" s="623"/>
      <c r="BR17" s="999">
        <v>12</v>
      </c>
      <c r="BS17" s="623"/>
      <c r="BT17" s="323">
        <f t="shared" si="11"/>
        <v>0</v>
      </c>
      <c r="BU17" s="520"/>
      <c r="BV17" s="330">
        <v>38</v>
      </c>
      <c r="BW17" s="623"/>
      <c r="BX17" s="330">
        <v>43</v>
      </c>
      <c r="BY17" s="623"/>
      <c r="BZ17" s="323">
        <f t="shared" si="12"/>
        <v>0.13157894736842102</v>
      </c>
      <c r="CA17" s="315"/>
      <c r="CD17" s="516"/>
      <c r="CE17" s="531">
        <v>0</v>
      </c>
      <c r="CF17" s="532">
        <f t="shared" si="27"/>
        <v>0</v>
      </c>
      <c r="CG17" s="531">
        <v>0</v>
      </c>
      <c r="CH17" s="532">
        <f t="shared" si="28"/>
        <v>0</v>
      </c>
      <c r="CI17" s="531">
        <v>0</v>
      </c>
      <c r="CJ17" s="532">
        <f t="shared" si="29"/>
        <v>0</v>
      </c>
      <c r="CK17" s="531">
        <v>0</v>
      </c>
      <c r="CL17" s="532">
        <f t="shared" si="30"/>
        <v>0</v>
      </c>
      <c r="CM17" s="531">
        <v>0</v>
      </c>
      <c r="CN17" s="532">
        <f t="shared" si="31"/>
        <v>0</v>
      </c>
      <c r="CO17" s="531">
        <v>0</v>
      </c>
      <c r="CP17" s="532">
        <f t="shared" si="32"/>
        <v>0</v>
      </c>
      <c r="CQ17" s="531">
        <v>0</v>
      </c>
      <c r="CR17" s="532">
        <f t="shared" si="19"/>
        <v>0</v>
      </c>
      <c r="CS17" s="516">
        <f t="shared" si="26"/>
        <v>0</v>
      </c>
      <c r="CT17" s="313"/>
      <c r="CU17" s="313"/>
      <c r="CV17" s="313"/>
      <c r="CW17" s="313"/>
      <c r="CX17" s="313"/>
      <c r="CY17" s="313"/>
      <c r="CZ17" s="313"/>
      <c r="DA17" s="313"/>
      <c r="DB17" s="313"/>
      <c r="DC17" s="313"/>
    </row>
    <row r="18" spans="1:107" s="2" customFormat="1">
      <c r="A18" s="1568"/>
      <c r="B18" s="1572"/>
      <c r="C18" s="399">
        <v>6.2</v>
      </c>
      <c r="D18" s="325" t="s">
        <v>1232</v>
      </c>
      <c r="E18" s="493" t="s">
        <v>1215</v>
      </c>
      <c r="F18" s="320"/>
      <c r="G18" s="320"/>
      <c r="H18" s="335"/>
      <c r="I18" s="384"/>
      <c r="J18" s="658">
        <f t="shared" si="33"/>
        <v>23.8</v>
      </c>
      <c r="K18" s="664"/>
      <c r="L18" s="658">
        <f>AVERAGE(BX18,BR18,BL18,BF18,AZ18,AT18,AN18,AH18,AB18,V18)</f>
        <v>23.7</v>
      </c>
      <c r="M18" s="511"/>
      <c r="N18" s="512">
        <f t="shared" si="22"/>
        <v>0</v>
      </c>
      <c r="O18" s="510">
        <f t="shared" si="2"/>
        <v>0</v>
      </c>
      <c r="P18" s="510">
        <f t="shared" si="23"/>
        <v>0</v>
      </c>
      <c r="Q18" s="833">
        <f t="shared" si="24"/>
        <v>0</v>
      </c>
      <c r="R18" s="832">
        <f t="shared" si="25"/>
        <v>0</v>
      </c>
      <c r="S18" s="520"/>
      <c r="T18" s="330">
        <v>32</v>
      </c>
      <c r="U18" s="623"/>
      <c r="V18" s="996">
        <v>15</v>
      </c>
      <c r="W18" s="623"/>
      <c r="X18" s="323">
        <f t="shared" si="3"/>
        <v>-0.53125</v>
      </c>
      <c r="Y18" s="520"/>
      <c r="Z18" s="330">
        <v>15</v>
      </c>
      <c r="AA18" s="623"/>
      <c r="AB18" s="1044">
        <v>7</v>
      </c>
      <c r="AC18" s="623"/>
      <c r="AD18" s="323">
        <f t="shared" si="4"/>
        <v>-0.53333333333333333</v>
      </c>
      <c r="AE18" s="520"/>
      <c r="AF18" s="330">
        <v>23</v>
      </c>
      <c r="AG18" s="623"/>
      <c r="AH18" s="330">
        <v>25</v>
      </c>
      <c r="AI18" s="623"/>
      <c r="AJ18" s="323">
        <f t="shared" si="5"/>
        <v>8.6956521739130377E-2</v>
      </c>
      <c r="AK18" s="520"/>
      <c r="AL18" s="330">
        <v>4</v>
      </c>
      <c r="AM18" s="623"/>
      <c r="AN18" s="330">
        <v>4</v>
      </c>
      <c r="AO18" s="623"/>
      <c r="AP18" s="323">
        <f t="shared" si="6"/>
        <v>0</v>
      </c>
      <c r="AQ18" s="520"/>
      <c r="AR18" s="330">
        <v>32</v>
      </c>
      <c r="AS18" s="623"/>
      <c r="AT18" s="330">
        <v>36</v>
      </c>
      <c r="AU18" s="623"/>
      <c r="AV18" s="323">
        <f t="shared" si="7"/>
        <v>0.125</v>
      </c>
      <c r="AW18" s="520"/>
      <c r="AX18" s="330">
        <v>50</v>
      </c>
      <c r="AY18" s="623"/>
      <c r="AZ18" s="1044">
        <v>56</v>
      </c>
      <c r="BA18" s="623"/>
      <c r="BB18" s="323">
        <f t="shared" si="8"/>
        <v>0.12000000000000011</v>
      </c>
      <c r="BC18" s="520"/>
      <c r="BD18" s="330">
        <v>6</v>
      </c>
      <c r="BE18" s="623"/>
      <c r="BF18" s="330">
        <v>6</v>
      </c>
      <c r="BG18" s="623"/>
      <c r="BH18" s="323">
        <f t="shared" si="9"/>
        <v>0</v>
      </c>
      <c r="BI18" s="520"/>
      <c r="BJ18" s="330">
        <v>26</v>
      </c>
      <c r="BK18" s="623"/>
      <c r="BL18" s="330">
        <v>33</v>
      </c>
      <c r="BM18" s="623"/>
      <c r="BN18" s="323">
        <f t="shared" si="10"/>
        <v>0.26923076923076916</v>
      </c>
      <c r="BO18" s="520"/>
      <c r="BP18" s="330">
        <v>12</v>
      </c>
      <c r="BQ18" s="623"/>
      <c r="BR18" s="999">
        <v>12</v>
      </c>
      <c r="BS18" s="623"/>
      <c r="BT18" s="323">
        <f t="shared" si="11"/>
        <v>0</v>
      </c>
      <c r="BU18" s="520"/>
      <c r="BV18" s="330">
        <v>38</v>
      </c>
      <c r="BW18" s="623"/>
      <c r="BX18" s="330">
        <v>43</v>
      </c>
      <c r="BY18" s="623"/>
      <c r="BZ18" s="323">
        <f t="shared" si="12"/>
        <v>0.13157894736842102</v>
      </c>
      <c r="CA18" s="315"/>
      <c r="CD18" s="516"/>
      <c r="CE18" s="531">
        <v>0</v>
      </c>
      <c r="CF18" s="532">
        <f t="shared" si="27"/>
        <v>0</v>
      </c>
      <c r="CG18" s="531">
        <v>0</v>
      </c>
      <c r="CH18" s="532">
        <f t="shared" si="28"/>
        <v>0</v>
      </c>
      <c r="CI18" s="531">
        <v>0</v>
      </c>
      <c r="CJ18" s="532">
        <f t="shared" si="29"/>
        <v>0</v>
      </c>
      <c r="CK18" s="531">
        <v>0</v>
      </c>
      <c r="CL18" s="532">
        <f t="shared" si="30"/>
        <v>0</v>
      </c>
      <c r="CM18" s="531">
        <v>0</v>
      </c>
      <c r="CN18" s="532">
        <f t="shared" si="31"/>
        <v>0</v>
      </c>
      <c r="CO18" s="531">
        <v>0</v>
      </c>
      <c r="CP18" s="532">
        <f t="shared" si="32"/>
        <v>0</v>
      </c>
      <c r="CQ18" s="531">
        <v>0</v>
      </c>
      <c r="CR18" s="532">
        <f t="shared" si="19"/>
        <v>0</v>
      </c>
      <c r="CS18" s="516">
        <f t="shared" si="26"/>
        <v>0</v>
      </c>
      <c r="CT18" s="313"/>
      <c r="CU18" s="313"/>
      <c r="CV18" s="313"/>
      <c r="CW18" s="313"/>
      <c r="CX18" s="313"/>
      <c r="CY18" s="313"/>
      <c r="CZ18" s="313"/>
      <c r="DA18" s="313"/>
      <c r="DB18" s="313"/>
      <c r="DC18" s="313"/>
    </row>
    <row r="19" spans="1:107" s="2" customFormat="1">
      <c r="A19" s="1570" t="s">
        <v>1234</v>
      </c>
      <c r="B19" s="1571" t="s">
        <v>1235</v>
      </c>
      <c r="C19" s="23">
        <v>7</v>
      </c>
      <c r="D19" s="329" t="s">
        <v>1233</v>
      </c>
      <c r="E19" s="491"/>
      <c r="F19" s="384"/>
      <c r="G19" s="384" t="s">
        <v>486</v>
      </c>
      <c r="H19" s="330" t="s">
        <v>285</v>
      </c>
      <c r="I19" s="383">
        <v>2</v>
      </c>
      <c r="J19" s="657">
        <f t="shared" si="33"/>
        <v>1</v>
      </c>
      <c r="K19" s="664">
        <f>AVERAGE(BW19,BQ19,BK19,BE19,AY19,AS19,AM19,AG19,AA19,U19)</f>
        <v>2</v>
      </c>
      <c r="L19" s="657">
        <f t="shared" ref="L19:L33" si="34">AVERAGE(BX19,BR19,BL19,BF19,AZ19,AT19,AN19,AH19,AB19,V19)</f>
        <v>1</v>
      </c>
      <c r="M19" s="511">
        <f>AVERAGE(BY19,BS19,BM19,BG19,BA19,AU19,AO19,AI19,AC19,W19)</f>
        <v>2</v>
      </c>
      <c r="N19" s="512">
        <f t="shared" si="22"/>
        <v>0</v>
      </c>
      <c r="O19" s="510">
        <f t="shared" si="2"/>
        <v>0</v>
      </c>
      <c r="P19" s="510">
        <f t="shared" si="23"/>
        <v>0</v>
      </c>
      <c r="Q19" s="833">
        <f t="shared" si="24"/>
        <v>0</v>
      </c>
      <c r="R19" s="832">
        <f t="shared" si="25"/>
        <v>0</v>
      </c>
      <c r="S19" s="520"/>
      <c r="T19" s="653">
        <f>IF(T21=0,"",T20/T21)</f>
        <v>1</v>
      </c>
      <c r="U19" s="322">
        <f>IF(T19=1,2,0)</f>
        <v>2</v>
      </c>
      <c r="V19" s="653">
        <f>IF(V21=0,"",V20/V21)</f>
        <v>1</v>
      </c>
      <c r="W19" s="322">
        <f>IF(V19=1,2,0)</f>
        <v>2</v>
      </c>
      <c r="X19" s="323">
        <f t="shared" si="3"/>
        <v>0</v>
      </c>
      <c r="Y19" s="520"/>
      <c r="Z19" s="653">
        <f>IF(Z21=0,"",Z20/Z21)</f>
        <v>1</v>
      </c>
      <c r="AA19" s="322">
        <f>IF(Z19=1,2,0)</f>
        <v>2</v>
      </c>
      <c r="AB19" s="1042">
        <f>IF(AB21=0,"",AB20/AB21)</f>
        <v>1</v>
      </c>
      <c r="AC19" s="322">
        <f>IF(AB19=1,2,0)</f>
        <v>2</v>
      </c>
      <c r="AD19" s="323">
        <f t="shared" si="4"/>
        <v>0</v>
      </c>
      <c r="AE19" s="520"/>
      <c r="AF19" s="653">
        <f>IF(AF21=0,"",AF20/AF21)</f>
        <v>1</v>
      </c>
      <c r="AG19" s="322">
        <f>IF(AF19=1,2,0)</f>
        <v>2</v>
      </c>
      <c r="AH19" s="653">
        <f>IF(AH21=0,"",AH20/AH21)</f>
        <v>1</v>
      </c>
      <c r="AI19" s="322">
        <f>IF(AH19=1,2,0)</f>
        <v>2</v>
      </c>
      <c r="AJ19" s="323">
        <f t="shared" si="5"/>
        <v>0</v>
      </c>
      <c r="AK19" s="520"/>
      <c r="AL19" s="653">
        <f>IF(AL21=0,"",AL20/AL21)</f>
        <v>1</v>
      </c>
      <c r="AM19" s="322">
        <f>IF(AL19=1,2,0)</f>
        <v>2</v>
      </c>
      <c r="AN19" s="653">
        <f>IF(AN21=0,"",AN20/AN21)</f>
        <v>1</v>
      </c>
      <c r="AO19" s="322">
        <f>IF(AN19=1,2,0)</f>
        <v>2</v>
      </c>
      <c r="AP19" s="323">
        <f t="shared" si="6"/>
        <v>0</v>
      </c>
      <c r="AQ19" s="520"/>
      <c r="AR19" s="653">
        <f>IF(AR21=0,"",AR20/AR21)</f>
        <v>1</v>
      </c>
      <c r="AS19" s="322">
        <f>IF(AR19=1,2,0)</f>
        <v>2</v>
      </c>
      <c r="AT19" s="653">
        <f>IF(AT21=0,"",AT20/AT21)</f>
        <v>1</v>
      </c>
      <c r="AU19" s="322">
        <f>IF(AT19=1,2,0)</f>
        <v>2</v>
      </c>
      <c r="AV19" s="323">
        <f t="shared" si="7"/>
        <v>0</v>
      </c>
      <c r="AW19" s="520"/>
      <c r="AX19" s="653">
        <f>IF(AX21=0,"",AX20/AX21)</f>
        <v>1</v>
      </c>
      <c r="AY19" s="322">
        <f>IF(AX19=1,2,0)</f>
        <v>2</v>
      </c>
      <c r="AZ19" s="1042">
        <f>IF(AZ21=0,"",AZ20/AZ21)</f>
        <v>1</v>
      </c>
      <c r="BA19" s="322">
        <f>IF(AZ19=1,2,0)</f>
        <v>2</v>
      </c>
      <c r="BB19" s="323">
        <f t="shared" si="8"/>
        <v>0</v>
      </c>
      <c r="BC19" s="520"/>
      <c r="BD19" s="653">
        <f>IF(BD21=0,"",BD20/BD21)</f>
        <v>1</v>
      </c>
      <c r="BE19" s="322">
        <f>IF(BD19=1,2,0)</f>
        <v>2</v>
      </c>
      <c r="BF19" s="653">
        <f>IF(BF21=0,"",BF20/BF21)</f>
        <v>1</v>
      </c>
      <c r="BG19" s="322">
        <f>IF(BF19=1,2,0)</f>
        <v>2</v>
      </c>
      <c r="BH19" s="323">
        <f t="shared" si="9"/>
        <v>0</v>
      </c>
      <c r="BI19" s="520"/>
      <c r="BJ19" s="653">
        <f>IF(BJ21=0,"",BJ20/BJ21)</f>
        <v>1</v>
      </c>
      <c r="BK19" s="322">
        <f>IF(BJ19=1,2,0)</f>
        <v>2</v>
      </c>
      <c r="BL19" s="653">
        <f>IF(BL21=0,"",BL20/BL21)</f>
        <v>1</v>
      </c>
      <c r="BM19" s="322">
        <f>IF(BL19=1,2,0)</f>
        <v>2</v>
      </c>
      <c r="BN19" s="323">
        <f t="shared" si="10"/>
        <v>0</v>
      </c>
      <c r="BO19" s="520"/>
      <c r="BP19" s="653">
        <f>IF(BP21=0,"",BP20/BP21)</f>
        <v>1</v>
      </c>
      <c r="BQ19" s="322">
        <f>IF(BP19=1,2,0)</f>
        <v>2</v>
      </c>
      <c r="BR19" s="653">
        <f>IF(BR21=0,"",BR20/BR21)</f>
        <v>1</v>
      </c>
      <c r="BS19" s="322">
        <f>IF(BR19=1,2,0)</f>
        <v>2</v>
      </c>
      <c r="BT19" s="323">
        <f t="shared" si="11"/>
        <v>0</v>
      </c>
      <c r="BU19" s="520"/>
      <c r="BV19" s="653">
        <f>IF(BV21=0,"",BV20/BV21)</f>
        <v>1</v>
      </c>
      <c r="BW19" s="322">
        <f>IF(BV19=1,2,0)</f>
        <v>2</v>
      </c>
      <c r="BX19" s="653">
        <f>IF(BX21=0,"",BX20/BX21)</f>
        <v>1</v>
      </c>
      <c r="BY19" s="322">
        <f>IF(BX19=1,2,0)</f>
        <v>2</v>
      </c>
      <c r="BZ19" s="323">
        <f t="shared" si="12"/>
        <v>0</v>
      </c>
      <c r="CA19" s="315"/>
      <c r="CD19" s="516" t="s">
        <v>1639</v>
      </c>
      <c r="CE19" s="531">
        <v>0</v>
      </c>
      <c r="CF19" s="532">
        <f t="shared" si="27"/>
        <v>2</v>
      </c>
      <c r="CG19" s="531">
        <v>1</v>
      </c>
      <c r="CH19" s="532">
        <f t="shared" si="28"/>
        <v>2</v>
      </c>
      <c r="CI19" s="531">
        <v>1</v>
      </c>
      <c r="CJ19" s="532">
        <f t="shared" si="29"/>
        <v>2</v>
      </c>
      <c r="CK19" s="531">
        <v>1</v>
      </c>
      <c r="CL19" s="532">
        <f t="shared" si="30"/>
        <v>2</v>
      </c>
      <c r="CM19" s="531">
        <v>1</v>
      </c>
      <c r="CN19" s="532">
        <f t="shared" si="31"/>
        <v>2</v>
      </c>
      <c r="CO19" s="531">
        <v>1</v>
      </c>
      <c r="CP19" s="532">
        <f t="shared" si="32"/>
        <v>2</v>
      </c>
      <c r="CQ19" s="531">
        <v>0</v>
      </c>
      <c r="CR19" s="532">
        <f t="shared" si="19"/>
        <v>2</v>
      </c>
      <c r="CS19" s="516">
        <f t="shared" si="26"/>
        <v>17</v>
      </c>
      <c r="CT19" s="313"/>
      <c r="CU19" s="313"/>
      <c r="CV19" s="313"/>
      <c r="CW19" s="313"/>
      <c r="CX19" s="313"/>
      <c r="CY19" s="313"/>
      <c r="CZ19" s="313"/>
      <c r="DA19" s="313"/>
      <c r="DB19" s="313"/>
      <c r="DC19" s="313"/>
    </row>
    <row r="20" spans="1:107" s="2" customFormat="1" ht="15.75" customHeight="1">
      <c r="A20" s="1568"/>
      <c r="B20" s="1572"/>
      <c r="C20" s="385">
        <v>7.1</v>
      </c>
      <c r="D20" s="325" t="s">
        <v>1236</v>
      </c>
      <c r="E20" s="493" t="s">
        <v>1215</v>
      </c>
      <c r="F20" s="320"/>
      <c r="G20" s="320"/>
      <c r="H20" s="335"/>
      <c r="I20" s="384"/>
      <c r="J20" s="658">
        <f t="shared" si="33"/>
        <v>797.9</v>
      </c>
      <c r="K20" s="664"/>
      <c r="L20" s="658">
        <f t="shared" si="34"/>
        <v>721</v>
      </c>
      <c r="M20" s="511"/>
      <c r="N20" s="512">
        <f t="shared" si="22"/>
        <v>0</v>
      </c>
      <c r="O20" s="510">
        <f t="shared" si="2"/>
        <v>0</v>
      </c>
      <c r="P20" s="510">
        <f t="shared" si="23"/>
        <v>0</v>
      </c>
      <c r="Q20" s="833">
        <f t="shared" si="24"/>
        <v>0</v>
      </c>
      <c r="R20" s="832">
        <f t="shared" si="25"/>
        <v>0</v>
      </c>
      <c r="S20" s="520"/>
      <c r="T20" s="330">
        <v>119</v>
      </c>
      <c r="U20" s="623"/>
      <c r="V20" s="330">
        <v>131</v>
      </c>
      <c r="W20" s="623"/>
      <c r="X20" s="323">
        <f t="shared" si="3"/>
        <v>0.10084033613445387</v>
      </c>
      <c r="Y20" s="520"/>
      <c r="Z20" s="330">
        <v>1282</v>
      </c>
      <c r="AA20" s="623"/>
      <c r="AB20" s="1044">
        <v>1115</v>
      </c>
      <c r="AC20" s="623"/>
      <c r="AD20" s="323">
        <f t="shared" si="4"/>
        <v>-0.13026521060842433</v>
      </c>
      <c r="AE20" s="520"/>
      <c r="AF20" s="330">
        <v>1814</v>
      </c>
      <c r="AG20" s="623"/>
      <c r="AH20" s="330">
        <v>1363</v>
      </c>
      <c r="AI20" s="623"/>
      <c r="AJ20" s="323">
        <f t="shared" si="5"/>
        <v>-0.24862183020948181</v>
      </c>
      <c r="AK20" s="520"/>
      <c r="AL20" s="330">
        <v>245</v>
      </c>
      <c r="AM20" s="623"/>
      <c r="AN20" s="330">
        <v>291</v>
      </c>
      <c r="AO20" s="623"/>
      <c r="AP20" s="323">
        <f t="shared" si="6"/>
        <v>0.18775510204081636</v>
      </c>
      <c r="AQ20" s="520"/>
      <c r="AR20" s="330">
        <v>984</v>
      </c>
      <c r="AS20" s="623"/>
      <c r="AT20" s="330">
        <v>905</v>
      </c>
      <c r="AU20" s="623"/>
      <c r="AV20" s="323">
        <f t="shared" si="7"/>
        <v>-8.028455284552849E-2</v>
      </c>
      <c r="AW20" s="520"/>
      <c r="AX20" s="330">
        <v>1081</v>
      </c>
      <c r="AY20" s="623"/>
      <c r="AZ20" s="1044">
        <v>1004</v>
      </c>
      <c r="BA20" s="623"/>
      <c r="BB20" s="323">
        <f t="shared" si="8"/>
        <v>-7.1230342275670711E-2</v>
      </c>
      <c r="BC20" s="520"/>
      <c r="BD20" s="330">
        <v>339</v>
      </c>
      <c r="BE20" s="623"/>
      <c r="BF20" s="330">
        <v>245</v>
      </c>
      <c r="BG20" s="623"/>
      <c r="BH20" s="323">
        <f t="shared" si="9"/>
        <v>-0.27728613569321536</v>
      </c>
      <c r="BI20" s="520"/>
      <c r="BJ20" s="330">
        <v>1102</v>
      </c>
      <c r="BK20" s="623"/>
      <c r="BL20" s="330">
        <v>1267</v>
      </c>
      <c r="BM20" s="623"/>
      <c r="BN20" s="323">
        <f t="shared" si="10"/>
        <v>0.14972776769509988</v>
      </c>
      <c r="BO20" s="520"/>
      <c r="BP20" s="330">
        <v>533</v>
      </c>
      <c r="BQ20" s="623"/>
      <c r="BR20" s="330">
        <v>328</v>
      </c>
      <c r="BS20" s="623"/>
      <c r="BT20" s="323">
        <f t="shared" si="11"/>
        <v>-0.38461538461538458</v>
      </c>
      <c r="BU20" s="520"/>
      <c r="BV20" s="330">
        <v>480</v>
      </c>
      <c r="BW20" s="623"/>
      <c r="BX20" s="330">
        <v>561</v>
      </c>
      <c r="BY20" s="623"/>
      <c r="BZ20" s="323">
        <f t="shared" si="12"/>
        <v>0.16874999999999996</v>
      </c>
      <c r="CA20" s="315"/>
      <c r="CD20" s="516"/>
      <c r="CE20" s="531">
        <v>0</v>
      </c>
      <c r="CF20" s="532">
        <f t="shared" si="27"/>
        <v>0</v>
      </c>
      <c r="CG20" s="531">
        <v>0</v>
      </c>
      <c r="CH20" s="532">
        <f t="shared" si="28"/>
        <v>0</v>
      </c>
      <c r="CI20" s="531">
        <v>0</v>
      </c>
      <c r="CJ20" s="532">
        <f t="shared" si="29"/>
        <v>0</v>
      </c>
      <c r="CK20" s="531">
        <v>0</v>
      </c>
      <c r="CL20" s="532">
        <f t="shared" si="30"/>
        <v>0</v>
      </c>
      <c r="CM20" s="531">
        <v>0</v>
      </c>
      <c r="CN20" s="532">
        <f t="shared" si="31"/>
        <v>0</v>
      </c>
      <c r="CO20" s="531">
        <v>0</v>
      </c>
      <c r="CP20" s="532">
        <f t="shared" si="32"/>
        <v>0</v>
      </c>
      <c r="CQ20" s="531">
        <v>0</v>
      </c>
      <c r="CR20" s="532">
        <f t="shared" si="19"/>
        <v>0</v>
      </c>
      <c r="CS20" s="516">
        <f t="shared" si="26"/>
        <v>0</v>
      </c>
      <c r="CT20" s="313"/>
      <c r="CU20" s="313"/>
      <c r="CV20" s="313"/>
      <c r="CW20" s="313"/>
      <c r="CX20" s="313"/>
      <c r="CY20" s="313"/>
      <c r="CZ20" s="313"/>
      <c r="DA20" s="313"/>
      <c r="DB20" s="313"/>
      <c r="DC20" s="313"/>
    </row>
    <row r="21" spans="1:107" s="2" customFormat="1">
      <c r="A21" s="1568"/>
      <c r="B21" s="1572"/>
      <c r="C21" s="385">
        <v>7.2</v>
      </c>
      <c r="D21" s="325" t="s">
        <v>1237</v>
      </c>
      <c r="E21" s="493" t="s">
        <v>1215</v>
      </c>
      <c r="F21" s="320" t="s">
        <v>2473</v>
      </c>
      <c r="G21" s="320"/>
      <c r="I21" s="384"/>
      <c r="J21" s="658">
        <f t="shared" si="33"/>
        <v>797.9</v>
      </c>
      <c r="K21" s="664"/>
      <c r="L21" s="658">
        <f t="shared" si="34"/>
        <v>721</v>
      </c>
      <c r="M21" s="511"/>
      <c r="N21" s="512">
        <f t="shared" si="22"/>
        <v>0</v>
      </c>
      <c r="O21" s="510">
        <f t="shared" si="2"/>
        <v>0</v>
      </c>
      <c r="P21" s="510">
        <f t="shared" si="23"/>
        <v>0</v>
      </c>
      <c r="Q21" s="833">
        <f t="shared" si="24"/>
        <v>0</v>
      </c>
      <c r="R21" s="832">
        <f t="shared" si="25"/>
        <v>0</v>
      </c>
      <c r="S21" s="520"/>
      <c r="T21" s="330">
        <v>119</v>
      </c>
      <c r="U21" s="623"/>
      <c r="V21" s="330">
        <v>131</v>
      </c>
      <c r="W21" s="623"/>
      <c r="X21" s="323">
        <f t="shared" si="3"/>
        <v>0.10084033613445387</v>
      </c>
      <c r="Y21" s="520"/>
      <c r="Z21" s="330">
        <v>1282</v>
      </c>
      <c r="AA21" s="623"/>
      <c r="AB21" s="1044">
        <v>1115</v>
      </c>
      <c r="AC21" s="623"/>
      <c r="AD21" s="323">
        <f t="shared" si="4"/>
        <v>-0.13026521060842433</v>
      </c>
      <c r="AE21" s="520"/>
      <c r="AF21" s="330">
        <v>1814</v>
      </c>
      <c r="AG21" s="623"/>
      <c r="AH21" s="330">
        <v>1363</v>
      </c>
      <c r="AI21" s="623"/>
      <c r="AJ21" s="323">
        <f t="shared" si="5"/>
        <v>-0.24862183020948181</v>
      </c>
      <c r="AK21" s="520"/>
      <c r="AL21" s="330">
        <v>245</v>
      </c>
      <c r="AM21" s="623"/>
      <c r="AN21" s="330">
        <v>291</v>
      </c>
      <c r="AO21" s="623"/>
      <c r="AP21" s="323">
        <f t="shared" si="6"/>
        <v>0.18775510204081636</v>
      </c>
      <c r="AQ21" s="520"/>
      <c r="AR21" s="330">
        <v>984</v>
      </c>
      <c r="AS21" s="623"/>
      <c r="AT21" s="330">
        <v>905</v>
      </c>
      <c r="AU21" s="623"/>
      <c r="AV21" s="323">
        <f t="shared" si="7"/>
        <v>-8.028455284552849E-2</v>
      </c>
      <c r="AW21" s="520"/>
      <c r="AX21" s="330">
        <v>1081</v>
      </c>
      <c r="AY21" s="623"/>
      <c r="AZ21" s="1044">
        <v>1004</v>
      </c>
      <c r="BA21" s="623"/>
      <c r="BB21" s="323">
        <f t="shared" si="8"/>
        <v>-7.1230342275670711E-2</v>
      </c>
      <c r="BC21" s="520"/>
      <c r="BD21" s="330">
        <v>339</v>
      </c>
      <c r="BE21" s="623"/>
      <c r="BF21" s="330">
        <v>245</v>
      </c>
      <c r="BG21" s="623"/>
      <c r="BH21" s="323">
        <f t="shared" si="9"/>
        <v>-0.27728613569321536</v>
      </c>
      <c r="BI21" s="520"/>
      <c r="BJ21" s="330">
        <v>1102</v>
      </c>
      <c r="BK21" s="623"/>
      <c r="BL21" s="330">
        <v>1267</v>
      </c>
      <c r="BM21" s="623"/>
      <c r="BN21" s="323">
        <f t="shared" si="10"/>
        <v>0.14972776769509988</v>
      </c>
      <c r="BO21" s="520"/>
      <c r="BP21" s="330">
        <v>533</v>
      </c>
      <c r="BQ21" s="623"/>
      <c r="BR21" s="330">
        <v>328</v>
      </c>
      <c r="BS21" s="623"/>
      <c r="BT21" s="323">
        <f t="shared" si="11"/>
        <v>-0.38461538461538458</v>
      </c>
      <c r="BU21" s="520"/>
      <c r="BV21" s="330">
        <v>480</v>
      </c>
      <c r="BW21" s="623"/>
      <c r="BX21" s="330">
        <v>561</v>
      </c>
      <c r="BY21" s="623"/>
      <c r="BZ21" s="323">
        <f t="shared" si="12"/>
        <v>0.16874999999999996</v>
      </c>
      <c r="CA21" s="315"/>
      <c r="CD21" s="516"/>
      <c r="CE21" s="531">
        <v>0</v>
      </c>
      <c r="CF21" s="532">
        <f t="shared" si="27"/>
        <v>0</v>
      </c>
      <c r="CG21" s="531">
        <v>0</v>
      </c>
      <c r="CH21" s="532">
        <f t="shared" si="28"/>
        <v>0</v>
      </c>
      <c r="CI21" s="531">
        <v>0</v>
      </c>
      <c r="CJ21" s="532">
        <f t="shared" si="29"/>
        <v>0</v>
      </c>
      <c r="CK21" s="531">
        <v>0</v>
      </c>
      <c r="CL21" s="532">
        <f t="shared" si="30"/>
        <v>0</v>
      </c>
      <c r="CM21" s="531">
        <v>0</v>
      </c>
      <c r="CN21" s="532">
        <f t="shared" si="31"/>
        <v>0</v>
      </c>
      <c r="CO21" s="531">
        <v>0</v>
      </c>
      <c r="CP21" s="532">
        <f t="shared" si="32"/>
        <v>0</v>
      </c>
      <c r="CQ21" s="531">
        <v>0</v>
      </c>
      <c r="CR21" s="532">
        <f t="shared" si="19"/>
        <v>0</v>
      </c>
      <c r="CS21" s="516">
        <f t="shared" si="26"/>
        <v>0</v>
      </c>
      <c r="CT21" s="313"/>
      <c r="CU21" s="313"/>
      <c r="CV21" s="313"/>
      <c r="CW21" s="313"/>
      <c r="CX21" s="313"/>
      <c r="CY21" s="313"/>
      <c r="CZ21" s="313"/>
      <c r="DA21" s="313"/>
      <c r="DB21" s="313"/>
      <c r="DC21" s="313"/>
    </row>
    <row r="22" spans="1:107" s="2" customFormat="1">
      <c r="A22" s="1570" t="s">
        <v>1238</v>
      </c>
      <c r="B22" s="1571" t="s">
        <v>1239</v>
      </c>
      <c r="C22" s="23">
        <v>8</v>
      </c>
      <c r="D22" s="329" t="s">
        <v>2119</v>
      </c>
      <c r="E22" s="491"/>
      <c r="F22" s="384"/>
      <c r="G22" s="384" t="s">
        <v>484</v>
      </c>
      <c r="H22" s="330" t="s">
        <v>285</v>
      </c>
      <c r="I22" s="383">
        <v>2</v>
      </c>
      <c r="J22" s="657">
        <f t="shared" si="33"/>
        <v>0.39980482041148613</v>
      </c>
      <c r="K22" s="664">
        <f>AVERAGE(BW22,BQ22,BK22,BE22,AY22,AS22,AM22,AG22,AA22,U22)</f>
        <v>2</v>
      </c>
      <c r="L22" s="657">
        <f t="shared" si="34"/>
        <v>0.47901567033245368</v>
      </c>
      <c r="M22" s="511">
        <f>AVERAGE(BY22,BS22,BM22,BG22,BA22,AU22,AO22,AI22,AC22,W22)</f>
        <v>2</v>
      </c>
      <c r="N22" s="512">
        <f t="shared" si="22"/>
        <v>0</v>
      </c>
      <c r="O22" s="510">
        <f t="shared" si="2"/>
        <v>0</v>
      </c>
      <c r="P22" s="510">
        <f t="shared" si="23"/>
        <v>0</v>
      </c>
      <c r="Q22" s="833">
        <f t="shared" si="24"/>
        <v>0</v>
      </c>
      <c r="R22" s="832">
        <f t="shared" si="25"/>
        <v>0</v>
      </c>
      <c r="S22" s="520"/>
      <c r="T22" s="654">
        <f>IF(T24=0,"",T23*1000/T24)</f>
        <v>0.45769208764803476</v>
      </c>
      <c r="U22" s="322">
        <f>IF(T22&lt;=3,2,IF(T22&lt;=5,1,0))</f>
        <v>2</v>
      </c>
      <c r="V22" s="654">
        <f>IF(V24=0,"",V23*1000/V24)</f>
        <v>0.2188662727073758</v>
      </c>
      <c r="W22" s="322">
        <f>IF(V22&lt;=3,2,IF(V22&lt;=5,1,0))</f>
        <v>2</v>
      </c>
      <c r="X22" s="323">
        <f t="shared" si="3"/>
        <v>-0.52180455241847223</v>
      </c>
      <c r="Y22" s="520"/>
      <c r="Z22" s="654">
        <f>IF(Z24=0,"",Z23*1000/Z24)</f>
        <v>0.18724679127089505</v>
      </c>
      <c r="AA22" s="322">
        <f>IF(Z22&lt;=3,2,IF(Z22&lt;=5,1,0))</f>
        <v>2</v>
      </c>
      <c r="AB22" s="654">
        <f>IF(AB24=0,"",AB23*1000/AB24)</f>
        <v>0.22541379532427386</v>
      </c>
      <c r="AC22" s="322">
        <f>IF(AB22&lt;=3,2,IF(AB22&lt;=5,1,0))</f>
        <v>2</v>
      </c>
      <c r="AD22" s="323">
        <f t="shared" si="4"/>
        <v>0.2038326200108902</v>
      </c>
      <c r="AE22" s="520"/>
      <c r="AF22" s="654">
        <f>IF(AF24=0,"",AF23*1000/AF24)</f>
        <v>0.52705120976638153</v>
      </c>
      <c r="AG22" s="322">
        <f>IF(AF22&lt;=3,2,IF(AF22&lt;=5,1,0))</f>
        <v>2</v>
      </c>
      <c r="AH22" s="654">
        <f>IF(AH24=0,"",AH23*1000/AH24)</f>
        <v>0.50457558312882733</v>
      </c>
      <c r="AI22" s="322">
        <f>IF(AH22&lt;=3,2,IF(AH22&lt;=5,1,0))</f>
        <v>2</v>
      </c>
      <c r="AJ22" s="323">
        <f t="shared" si="5"/>
        <v>-4.2644104066313915E-2</v>
      </c>
      <c r="AK22" s="520"/>
      <c r="AL22" s="654">
        <f>IF(AL24=0,"",AL23*1000/AL24)</f>
        <v>5.4097917230186636E-2</v>
      </c>
      <c r="AM22" s="322">
        <f>IF(AL22&lt;=3,2,IF(AL22&lt;=5,1,0))</f>
        <v>2</v>
      </c>
      <c r="AN22" s="654">
        <f>IF(AN24=0,"",AN23*1000/AN24)</f>
        <v>0</v>
      </c>
      <c r="AO22" s="322">
        <f>IF(AN22&lt;=3,2,IF(AN22&lt;=5,1,0))</f>
        <v>2</v>
      </c>
      <c r="AP22" s="323">
        <f t="shared" si="6"/>
        <v>-1</v>
      </c>
      <c r="AQ22" s="520"/>
      <c r="AR22" s="654">
        <f>IF(AR24=0,"",AR23*1000/AR24)</f>
        <v>1.4670916173420347</v>
      </c>
      <c r="AS22" s="322">
        <f>IF(AR22&lt;=3,2,IF(AR22&lt;=5,1,0))</f>
        <v>2</v>
      </c>
      <c r="AT22" s="654">
        <f>IF(AT24=0,"",AT23*1000/AT24)</f>
        <v>1.6672864014201922</v>
      </c>
      <c r="AU22" s="322">
        <f>IF(AT22&lt;=3,2,IF(AT22&lt;=5,1,0))</f>
        <v>2</v>
      </c>
      <c r="AV22" s="323">
        <f t="shared" si="7"/>
        <v>0.13645690678872202</v>
      </c>
      <c r="AW22" s="520"/>
      <c r="AX22" s="654">
        <f>IF(AX24=0,"",AX23*1000/AX24)</f>
        <v>0.49009219031471868</v>
      </c>
      <c r="AY22" s="322">
        <f>IF(AX22&lt;=3,2,IF(AX22&lt;=5,1,0))</f>
        <v>2</v>
      </c>
      <c r="AZ22" s="654">
        <f>IF(AZ24=0,"",AZ23*1000/AZ24)</f>
        <v>1.0492402266358889</v>
      </c>
      <c r="BA22" s="322">
        <f>IF(AZ22&lt;=3,2,IF(AZ22&lt;=5,1,0))</f>
        <v>2</v>
      </c>
      <c r="BB22" s="323">
        <f t="shared" si="8"/>
        <v>1.1409037878406232</v>
      </c>
      <c r="BC22" s="520"/>
      <c r="BD22" s="654">
        <f>IF(BD24=0,"",BD23*1000/BD24)</f>
        <v>0.34355406682126599</v>
      </c>
      <c r="BE22" s="322">
        <f>IF(BD22&lt;=3,2,IF(BD22&lt;=5,1,0))</f>
        <v>2</v>
      </c>
      <c r="BF22" s="654">
        <f>IF(BF24=0,"",BF23*1000/BF24)</f>
        <v>0.51788874023563936</v>
      </c>
      <c r="BG22" s="322">
        <f>IF(BF22&lt;=3,2,IF(BF22&lt;=5,1,0))</f>
        <v>2</v>
      </c>
      <c r="BH22" s="323">
        <f t="shared" si="9"/>
        <v>0.50744465064088717</v>
      </c>
      <c r="BI22" s="520"/>
      <c r="BJ22" s="654">
        <f>IF(BJ24=0,"",BJ23*1000/BJ24)</f>
        <v>0.38143959791778853</v>
      </c>
      <c r="BK22" s="322">
        <f>IF(BJ22&lt;=3,2,IF(BJ22&lt;=5,1,0))</f>
        <v>2</v>
      </c>
      <c r="BL22" s="654">
        <f>IF(BL24=0,"",BL23*1000/BL24)</f>
        <v>0.28524276196491516</v>
      </c>
      <c r="BM22" s="322">
        <f>IF(BL22&lt;=3,2,IF(BL22&lt;=5,1,0))</f>
        <v>2</v>
      </c>
      <c r="BN22" s="323">
        <f t="shared" si="10"/>
        <v>-0.25219415204397999</v>
      </c>
      <c r="BO22" s="520"/>
      <c r="BP22" s="654">
        <f>IF(BP24=0,"",BP23*1000/BP24)</f>
        <v>0</v>
      </c>
      <c r="BQ22" s="322">
        <f>IF(BP22&lt;=3,2,IF(BP22&lt;=5,1,0))</f>
        <v>2</v>
      </c>
      <c r="BR22" s="654">
        <f>IF(BR24=0,"",BR23*1000/BR24)</f>
        <v>0.28220685762664033</v>
      </c>
      <c r="BS22" s="322">
        <f>IF(BR22&lt;=3,2,IF(BR22&lt;=5,1,0))</f>
        <v>2</v>
      </c>
      <c r="BT22" s="323">
        <f t="shared" si="11"/>
        <v>1</v>
      </c>
      <c r="BU22" s="520"/>
      <c r="BV22" s="654">
        <f>IF(BV24=0,"",BV23*1000/BV24)</f>
        <v>8.9782725803555397E-2</v>
      </c>
      <c r="BW22" s="322">
        <f>IF(BV22&lt;=3,2,IF(BV22&lt;=5,1,0))</f>
        <v>2</v>
      </c>
      <c r="BX22" s="654">
        <f>IF(BX24=0,"",BX23*1000/BX24)</f>
        <v>3.9436064280784777E-2</v>
      </c>
      <c r="BY22" s="322">
        <f>IF(BX22&lt;=3,2,IF(BX22&lt;=5,1,0))</f>
        <v>2</v>
      </c>
      <c r="BZ22" s="323">
        <f t="shared" si="12"/>
        <v>-0.56076111604061918</v>
      </c>
      <c r="CA22" s="315"/>
      <c r="CD22" s="516" t="s">
        <v>1639</v>
      </c>
      <c r="CE22" s="531">
        <v>1</v>
      </c>
      <c r="CF22" s="532">
        <f t="shared" si="27"/>
        <v>2</v>
      </c>
      <c r="CG22" s="531">
        <v>1</v>
      </c>
      <c r="CH22" s="532">
        <f t="shared" si="28"/>
        <v>2</v>
      </c>
      <c r="CI22" s="531">
        <v>1</v>
      </c>
      <c r="CJ22" s="532">
        <f t="shared" si="29"/>
        <v>2</v>
      </c>
      <c r="CK22" s="531">
        <v>1</v>
      </c>
      <c r="CL22" s="532">
        <f t="shared" si="30"/>
        <v>2</v>
      </c>
      <c r="CM22" s="531">
        <v>1</v>
      </c>
      <c r="CN22" s="532">
        <f t="shared" si="31"/>
        <v>2</v>
      </c>
      <c r="CO22" s="531">
        <v>1</v>
      </c>
      <c r="CP22" s="532">
        <f t="shared" si="32"/>
        <v>2</v>
      </c>
      <c r="CQ22" s="531">
        <v>0</v>
      </c>
      <c r="CR22" s="532">
        <f t="shared" si="19"/>
        <v>2</v>
      </c>
      <c r="CS22" s="516">
        <f t="shared" si="26"/>
        <v>18</v>
      </c>
      <c r="CT22" s="313"/>
      <c r="CU22" s="313"/>
      <c r="CV22" s="313"/>
      <c r="CW22" s="313"/>
      <c r="CX22" s="313"/>
      <c r="CY22" s="313"/>
      <c r="CZ22" s="313"/>
      <c r="DA22" s="313"/>
      <c r="DB22" s="313"/>
      <c r="DC22" s="313"/>
    </row>
    <row r="23" spans="1:107" s="2" customFormat="1">
      <c r="A23" s="1568"/>
      <c r="B23" s="1572"/>
      <c r="C23" s="385">
        <v>8.1</v>
      </c>
      <c r="D23" s="325" t="s">
        <v>1240</v>
      </c>
      <c r="E23" s="492" t="s">
        <v>1241</v>
      </c>
      <c r="F23" s="328" t="s">
        <v>1242</v>
      </c>
      <c r="G23" s="384" t="s">
        <v>484</v>
      </c>
      <c r="H23" s="326"/>
      <c r="I23" s="384"/>
      <c r="J23" s="658">
        <f t="shared" si="33"/>
        <v>24.5</v>
      </c>
      <c r="K23" s="664"/>
      <c r="L23" s="658">
        <f t="shared" si="34"/>
        <v>31.8</v>
      </c>
      <c r="M23" s="511"/>
      <c r="N23" s="512">
        <f t="shared" si="22"/>
        <v>0</v>
      </c>
      <c r="O23" s="510">
        <f t="shared" si="2"/>
        <v>0</v>
      </c>
      <c r="P23" s="510">
        <f t="shared" si="23"/>
        <v>0</v>
      </c>
      <c r="Q23" s="833">
        <f t="shared" si="24"/>
        <v>0</v>
      </c>
      <c r="R23" s="832">
        <f t="shared" si="25"/>
        <v>0</v>
      </c>
      <c r="S23" s="520"/>
      <c r="T23" s="338">
        <v>8</v>
      </c>
      <c r="U23" s="623"/>
      <c r="V23" s="338">
        <v>4</v>
      </c>
      <c r="W23" s="623"/>
      <c r="X23" s="323">
        <f t="shared" si="3"/>
        <v>-0.5</v>
      </c>
      <c r="Y23" s="520"/>
      <c r="Z23" s="638">
        <v>11</v>
      </c>
      <c r="AA23" s="623"/>
      <c r="AB23" s="638">
        <v>14</v>
      </c>
      <c r="AC23" s="623"/>
      <c r="AD23" s="323">
        <f t="shared" si="4"/>
        <v>0.27272727272727271</v>
      </c>
      <c r="AE23" s="520"/>
      <c r="AF23" s="638">
        <v>43</v>
      </c>
      <c r="AG23" s="623"/>
      <c r="AH23" s="638">
        <v>44</v>
      </c>
      <c r="AI23" s="623"/>
      <c r="AJ23" s="323">
        <f t="shared" si="5"/>
        <v>2.3255813953488413E-2</v>
      </c>
      <c r="AK23" s="520"/>
      <c r="AL23" s="638">
        <v>1</v>
      </c>
      <c r="AM23" s="623"/>
      <c r="AN23" s="638">
        <v>0</v>
      </c>
      <c r="AO23" s="623"/>
      <c r="AP23" s="323">
        <f t="shared" si="6"/>
        <v>-1</v>
      </c>
      <c r="AQ23" s="520"/>
      <c r="AR23" s="638">
        <v>116</v>
      </c>
      <c r="AS23" s="623"/>
      <c r="AT23" s="638">
        <v>139</v>
      </c>
      <c r="AU23" s="623"/>
      <c r="AV23" s="323">
        <f t="shared" si="7"/>
        <v>0.19827586206896552</v>
      </c>
      <c r="AW23" s="520"/>
      <c r="AX23" s="330">
        <v>37</v>
      </c>
      <c r="AY23" s="623"/>
      <c r="AZ23" s="1044">
        <v>85</v>
      </c>
      <c r="BA23" s="623"/>
      <c r="BB23" s="323">
        <f t="shared" si="8"/>
        <v>1.2972972972972974</v>
      </c>
      <c r="BC23" s="520"/>
      <c r="BD23" s="638">
        <v>8</v>
      </c>
      <c r="BE23" s="623"/>
      <c r="BF23" s="638">
        <v>12</v>
      </c>
      <c r="BG23" s="623"/>
      <c r="BH23" s="323">
        <f t="shared" si="9"/>
        <v>0.5</v>
      </c>
      <c r="BI23" s="520"/>
      <c r="BJ23" s="638">
        <v>17</v>
      </c>
      <c r="BK23" s="623"/>
      <c r="BL23" s="638">
        <v>14</v>
      </c>
      <c r="BM23" s="623"/>
      <c r="BN23" s="323">
        <f t="shared" si="10"/>
        <v>-0.17647058823529416</v>
      </c>
      <c r="BO23" s="520"/>
      <c r="BP23" s="638">
        <v>0</v>
      </c>
      <c r="BQ23" s="623"/>
      <c r="BR23" s="638">
        <v>4</v>
      </c>
      <c r="BS23" s="623"/>
      <c r="BT23" s="323">
        <f t="shared" si="11"/>
        <v>1</v>
      </c>
      <c r="BU23" s="520"/>
      <c r="BV23" s="638">
        <v>4</v>
      </c>
      <c r="BW23" s="623"/>
      <c r="BX23" s="638">
        <v>2</v>
      </c>
      <c r="BY23" s="623"/>
      <c r="BZ23" s="323">
        <f t="shared" si="12"/>
        <v>-0.5</v>
      </c>
      <c r="CA23" s="315"/>
      <c r="CD23" s="516"/>
      <c r="CE23" s="531">
        <v>0</v>
      </c>
      <c r="CF23" s="532">
        <f t="shared" si="27"/>
        <v>0</v>
      </c>
      <c r="CG23" s="531">
        <v>0</v>
      </c>
      <c r="CH23" s="532">
        <f t="shared" si="28"/>
        <v>0</v>
      </c>
      <c r="CI23" s="531">
        <v>0</v>
      </c>
      <c r="CJ23" s="532">
        <f t="shared" si="29"/>
        <v>0</v>
      </c>
      <c r="CK23" s="531">
        <v>0</v>
      </c>
      <c r="CL23" s="532">
        <f t="shared" si="30"/>
        <v>0</v>
      </c>
      <c r="CM23" s="531">
        <v>0</v>
      </c>
      <c r="CN23" s="532">
        <f t="shared" si="31"/>
        <v>0</v>
      </c>
      <c r="CO23" s="531">
        <v>0</v>
      </c>
      <c r="CP23" s="532">
        <f t="shared" si="32"/>
        <v>0</v>
      </c>
      <c r="CQ23" s="531">
        <v>0</v>
      </c>
      <c r="CR23" s="532">
        <f t="shared" si="19"/>
        <v>0</v>
      </c>
      <c r="CS23" s="516">
        <f t="shared" si="26"/>
        <v>0</v>
      </c>
      <c r="CT23" s="313"/>
      <c r="CU23" s="313"/>
      <c r="CV23" s="313"/>
      <c r="CW23" s="313"/>
      <c r="CX23" s="313"/>
      <c r="CY23" s="313"/>
      <c r="CZ23" s="313"/>
      <c r="DA23" s="313"/>
      <c r="DB23" s="313"/>
      <c r="DC23" s="313"/>
    </row>
    <row r="24" spans="1:107" s="2" customFormat="1">
      <c r="A24" s="1568"/>
      <c r="B24" s="1572"/>
      <c r="C24" s="385">
        <v>8.1999999999999993</v>
      </c>
      <c r="D24" s="325" t="s">
        <v>1243</v>
      </c>
      <c r="E24" s="492" t="s">
        <v>1241</v>
      </c>
      <c r="F24" s="328" t="s">
        <v>1244</v>
      </c>
      <c r="G24" s="384" t="s">
        <v>486</v>
      </c>
      <c r="H24" s="326"/>
      <c r="I24" s="384"/>
      <c r="J24" s="658">
        <f t="shared" si="33"/>
        <v>45654.7</v>
      </c>
      <c r="K24" s="664"/>
      <c r="L24" s="658">
        <f t="shared" si="34"/>
        <v>48825.9</v>
      </c>
      <c r="M24" s="511"/>
      <c r="N24" s="512">
        <f t="shared" si="22"/>
        <v>0</v>
      </c>
      <c r="O24" s="510">
        <f t="shared" si="2"/>
        <v>0</v>
      </c>
      <c r="P24" s="510">
        <f t="shared" si="23"/>
        <v>0</v>
      </c>
      <c r="Q24" s="833">
        <f t="shared" si="24"/>
        <v>0</v>
      </c>
      <c r="R24" s="832">
        <f t="shared" si="25"/>
        <v>0</v>
      </c>
      <c r="S24" s="520"/>
      <c r="T24" s="638">
        <v>17479</v>
      </c>
      <c r="U24" s="322"/>
      <c r="V24" s="638">
        <v>18276</v>
      </c>
      <c r="W24" s="322"/>
      <c r="X24" s="323">
        <f t="shared" si="3"/>
        <v>4.5597574231935445E-2</v>
      </c>
      <c r="Y24" s="520"/>
      <c r="Z24" s="638">
        <v>58746</v>
      </c>
      <c r="AA24" s="322"/>
      <c r="AB24" s="638">
        <v>62108</v>
      </c>
      <c r="AC24" s="322"/>
      <c r="AD24" s="323">
        <f t="shared" si="4"/>
        <v>5.722942838661349E-2</v>
      </c>
      <c r="AE24" s="520"/>
      <c r="AF24" s="638">
        <v>81586</v>
      </c>
      <c r="AG24" s="322"/>
      <c r="AH24" s="638">
        <v>87202</v>
      </c>
      <c r="AI24" s="322"/>
      <c r="AJ24" s="323">
        <f t="shared" si="5"/>
        <v>6.8835339396465134E-2</v>
      </c>
      <c r="AK24" s="520"/>
      <c r="AL24" s="638">
        <v>18485</v>
      </c>
      <c r="AM24" s="623"/>
      <c r="AN24" s="638">
        <v>19152</v>
      </c>
      <c r="AO24" s="623"/>
      <c r="AP24" s="323">
        <f t="shared" si="6"/>
        <v>3.6083310792534462E-2</v>
      </c>
      <c r="AQ24" s="520"/>
      <c r="AR24" s="638">
        <v>79068</v>
      </c>
      <c r="AS24" s="322"/>
      <c r="AT24" s="638">
        <v>83369</v>
      </c>
      <c r="AU24" s="322"/>
      <c r="AV24" s="323">
        <f t="shared" si="7"/>
        <v>5.4396215915414547E-2</v>
      </c>
      <c r="AW24" s="520"/>
      <c r="AX24" s="638">
        <v>75496</v>
      </c>
      <c r="AY24" s="322"/>
      <c r="AZ24" s="638">
        <v>81011</v>
      </c>
      <c r="BA24" s="322"/>
      <c r="BB24" s="323">
        <f t="shared" si="8"/>
        <v>7.3050227826639835E-2</v>
      </c>
      <c r="BC24" s="520"/>
      <c r="BD24" s="638">
        <v>23286</v>
      </c>
      <c r="BE24" s="322"/>
      <c r="BF24" s="638">
        <v>23171</v>
      </c>
      <c r="BG24" s="322"/>
      <c r="BH24" s="323">
        <f t="shared" si="9"/>
        <v>-4.9385897105557186E-3</v>
      </c>
      <c r="BI24" s="520"/>
      <c r="BJ24" s="638">
        <v>44568</v>
      </c>
      <c r="BK24" s="623"/>
      <c r="BL24" s="638">
        <v>49081</v>
      </c>
      <c r="BM24" s="623"/>
      <c r="BN24" s="323">
        <f t="shared" si="10"/>
        <v>0.10126099443546943</v>
      </c>
      <c r="BO24" s="520"/>
      <c r="BP24" s="638">
        <v>13281</v>
      </c>
      <c r="BQ24" s="623"/>
      <c r="BR24" s="638">
        <v>14174</v>
      </c>
      <c r="BS24" s="623"/>
      <c r="BT24" s="323">
        <f t="shared" si="11"/>
        <v>6.7238912732475065E-2</v>
      </c>
      <c r="BU24" s="520"/>
      <c r="BV24" s="638">
        <v>44552</v>
      </c>
      <c r="BW24" s="623"/>
      <c r="BX24" s="638">
        <v>50715</v>
      </c>
      <c r="BY24" s="623"/>
      <c r="BZ24" s="323">
        <f t="shared" si="12"/>
        <v>0.13833273478182795</v>
      </c>
      <c r="CA24" s="315"/>
      <c r="CD24" s="516"/>
      <c r="CE24" s="531">
        <v>0</v>
      </c>
      <c r="CF24" s="532">
        <f t="shared" si="27"/>
        <v>0</v>
      </c>
      <c r="CG24" s="531">
        <v>0</v>
      </c>
      <c r="CH24" s="532">
        <f t="shared" si="28"/>
        <v>0</v>
      </c>
      <c r="CI24" s="531">
        <v>0</v>
      </c>
      <c r="CJ24" s="532">
        <f t="shared" si="29"/>
        <v>0</v>
      </c>
      <c r="CK24" s="531">
        <v>0</v>
      </c>
      <c r="CL24" s="532">
        <f t="shared" si="30"/>
        <v>0</v>
      </c>
      <c r="CM24" s="531">
        <v>0</v>
      </c>
      <c r="CN24" s="532">
        <f t="shared" si="31"/>
        <v>0</v>
      </c>
      <c r="CO24" s="531">
        <v>0</v>
      </c>
      <c r="CP24" s="532">
        <f t="shared" si="32"/>
        <v>0</v>
      </c>
      <c r="CQ24" s="531">
        <v>0</v>
      </c>
      <c r="CR24" s="532">
        <f t="shared" si="19"/>
        <v>0</v>
      </c>
      <c r="CS24" s="516">
        <f t="shared" si="26"/>
        <v>0</v>
      </c>
      <c r="CT24" s="313"/>
      <c r="CU24" s="313"/>
      <c r="CV24" s="313"/>
      <c r="CW24" s="313"/>
      <c r="CX24" s="313"/>
      <c r="CY24" s="313"/>
      <c r="CZ24" s="313"/>
      <c r="DA24" s="313"/>
      <c r="DB24" s="313"/>
      <c r="DC24" s="313"/>
    </row>
    <row r="25" spans="1:107" s="2" customFormat="1">
      <c r="A25" s="1570" t="s">
        <v>1245</v>
      </c>
      <c r="B25" s="1571" t="s">
        <v>1246</v>
      </c>
      <c r="C25" s="23">
        <v>9</v>
      </c>
      <c r="D25" s="1024" t="s">
        <v>2105</v>
      </c>
      <c r="E25" s="491"/>
      <c r="F25" s="384"/>
      <c r="G25" s="384" t="s">
        <v>486</v>
      </c>
      <c r="H25" s="330" t="s">
        <v>285</v>
      </c>
      <c r="I25" s="383">
        <v>2</v>
      </c>
      <c r="J25" s="657">
        <f t="shared" si="33"/>
        <v>0.34612951988052199</v>
      </c>
      <c r="K25" s="664">
        <f>AVERAGE(BW25,BQ25,BK25,BE25,AY25,AS25,AM25,AG25,AA25,U25)</f>
        <v>0.69225903976104397</v>
      </c>
      <c r="L25" s="657">
        <f t="shared" si="34"/>
        <v>0.34143161028888486</v>
      </c>
      <c r="M25" s="511">
        <f>AVERAGE(BY25,BS25,BM25,BG25,BA25,AU25,AO25,AI25,AC25,W25)</f>
        <v>0.68286322057776971</v>
      </c>
      <c r="N25" s="512">
        <f t="shared" si="22"/>
        <v>-9.3958191832742566E-3</v>
      </c>
      <c r="O25" s="510">
        <f t="shared" si="2"/>
        <v>1.3171367794222304</v>
      </c>
      <c r="P25" s="510">
        <f t="shared" si="23"/>
        <v>0.92199574559556119</v>
      </c>
      <c r="Q25" s="833">
        <f t="shared" si="24"/>
        <v>0.10244397173284013</v>
      </c>
      <c r="R25" s="832">
        <f t="shared" si="25"/>
        <v>5.1221985866420065E-2</v>
      </c>
      <c r="S25" s="520"/>
      <c r="T25" s="653">
        <f>IF(T27=0,"",T26/T27)</f>
        <v>0.83333333333333337</v>
      </c>
      <c r="U25" s="993">
        <f>T25*2</f>
        <v>1.6666666666666667</v>
      </c>
      <c r="V25" s="653">
        <f>IF(V27=0,"",V26/V27)</f>
        <v>0.81818181818181823</v>
      </c>
      <c r="W25" s="993">
        <f>V25*2</f>
        <v>1.6363636363636365</v>
      </c>
      <c r="X25" s="323">
        <f t="shared" si="3"/>
        <v>-1.8181818181818188E-2</v>
      </c>
      <c r="Y25" s="520"/>
      <c r="Z25" s="653">
        <f>IF(Z27=0,"",Z26/Z27)</f>
        <v>0.21305841924398625</v>
      </c>
      <c r="AA25" s="993">
        <f>Z25*2</f>
        <v>0.42611683848797249</v>
      </c>
      <c r="AB25" s="653">
        <f>IF(AB27=0,"",AB26/AB27)</f>
        <v>0.18584070796460178</v>
      </c>
      <c r="AC25" s="993">
        <f>AB25*2</f>
        <v>0.37168141592920356</v>
      </c>
      <c r="AD25" s="323">
        <f t="shared" si="4"/>
        <v>-0.12774764487582069</v>
      </c>
      <c r="AE25" s="520"/>
      <c r="AF25" s="653">
        <f>IF(AF27=0,"",AF26/AF27)</f>
        <v>0.33333333333333331</v>
      </c>
      <c r="AG25" s="547">
        <f>AF25*2</f>
        <v>0.66666666666666663</v>
      </c>
      <c r="AH25" s="653">
        <f>IF(AH27=0,"",AH26/AH27)</f>
        <v>0.35099337748344372</v>
      </c>
      <c r="AI25" s="993">
        <f>AH25*2</f>
        <v>0.70198675496688745</v>
      </c>
      <c r="AJ25" s="323">
        <f t="shared" si="5"/>
        <v>5.2980132450331174E-2</v>
      </c>
      <c r="AK25" s="520"/>
      <c r="AL25" s="653">
        <f>IF(AL27=0,"",AL26/AL27)</f>
        <v>0.2391304347826087</v>
      </c>
      <c r="AM25" s="993">
        <f>AL25*2</f>
        <v>0.47826086956521741</v>
      </c>
      <c r="AN25" s="653">
        <f>IF(AN27=0,"",AN26/AN27)</f>
        <v>0.25454545454545452</v>
      </c>
      <c r="AO25" s="993">
        <f>AN25*2</f>
        <v>0.50909090909090904</v>
      </c>
      <c r="AP25" s="323">
        <f t="shared" si="6"/>
        <v>6.4462809917355202E-2</v>
      </c>
      <c r="AQ25" s="520"/>
      <c r="AR25" s="653">
        <f>IF(AR27=0,"",AR26/AR27)</f>
        <v>0.3949579831932773</v>
      </c>
      <c r="AS25" s="993">
        <f>AR25*2</f>
        <v>0.78991596638655459</v>
      </c>
      <c r="AT25" s="653">
        <f>IF(AT27=0,"",AT26/AT27)</f>
        <v>0.46153846153846156</v>
      </c>
      <c r="AU25" s="993">
        <f>AT25*2</f>
        <v>0.92307692307692313</v>
      </c>
      <c r="AV25" s="323">
        <f t="shared" si="7"/>
        <v>0.16857610474631768</v>
      </c>
      <c r="AW25" s="520"/>
      <c r="AX25" s="653">
        <f>IF(AX27=0,"",AX26/AX27)</f>
        <v>0.26229508196721313</v>
      </c>
      <c r="AY25" s="993">
        <f>AX25*2</f>
        <v>0.52459016393442626</v>
      </c>
      <c r="AZ25" s="653">
        <f>IF(AZ27=0,"",AZ26/AZ27)</f>
        <v>0.17696629213483145</v>
      </c>
      <c r="BA25" s="993">
        <f>AZ25*2</f>
        <v>0.3539325842696629</v>
      </c>
      <c r="BB25" s="323">
        <f t="shared" si="8"/>
        <v>-0.3253160112359551</v>
      </c>
      <c r="BC25" s="520"/>
      <c r="BD25" s="653">
        <f>IF(BD27=0,"",BD26/BD27)</f>
        <v>0.19130434782608696</v>
      </c>
      <c r="BE25" s="993">
        <f>BD25*2</f>
        <v>0.38260869565217392</v>
      </c>
      <c r="BF25" s="653">
        <f>IF(BF27=0,"",BF26/BF27)</f>
        <v>0.21238938053097345</v>
      </c>
      <c r="BG25" s="993">
        <f>BF25*2</f>
        <v>0.4247787610619469</v>
      </c>
      <c r="BH25" s="323">
        <f t="shared" si="9"/>
        <v>0.11021721641190663</v>
      </c>
      <c r="BI25" s="520"/>
      <c r="BJ25" s="653">
        <f>IF(BJ27=0,"",BJ26/BJ27)</f>
        <v>0.29268292682926828</v>
      </c>
      <c r="BK25" s="993">
        <f>BJ25*2</f>
        <v>0.58536585365853655</v>
      </c>
      <c r="BL25" s="653">
        <f>IF(BL27=0,"",BL26/BL27)</f>
        <v>0.26339285714285715</v>
      </c>
      <c r="BM25" s="993">
        <f>BL25*2</f>
        <v>0.5267857142857143</v>
      </c>
      <c r="BN25" s="323">
        <f t="shared" si="10"/>
        <v>-0.10007440476190466</v>
      </c>
      <c r="BO25" s="520"/>
      <c r="BP25" s="653">
        <f>IF(BP27=0,"",BP26/BP27)</f>
        <v>0.5641025641025641</v>
      </c>
      <c r="BQ25" s="993">
        <f>BP25*2</f>
        <v>1.1282051282051282</v>
      </c>
      <c r="BR25" s="653">
        <f>IF(BR27=0,"",BR26/BR27)</f>
        <v>0.46987951807228917</v>
      </c>
      <c r="BS25" s="993">
        <f>BR25*2</f>
        <v>0.93975903614457834</v>
      </c>
      <c r="BT25" s="323">
        <f t="shared" si="11"/>
        <v>-0.16703176341730552</v>
      </c>
      <c r="BU25" s="520"/>
      <c r="BV25" s="653">
        <f>IF(BV27=0,"",BV26/BV27)</f>
        <v>0.13709677419354838</v>
      </c>
      <c r="BW25" s="993">
        <f>BV25*2</f>
        <v>0.27419354838709675</v>
      </c>
      <c r="BX25" s="653">
        <f>IF(BX27=0,"",BX26/BX27)</f>
        <v>0.22058823529411764</v>
      </c>
      <c r="BY25" s="993">
        <f>BX25*2</f>
        <v>0.44117647058823528</v>
      </c>
      <c r="BZ25" s="323">
        <f t="shared" si="12"/>
        <v>0.60899653979238755</v>
      </c>
      <c r="CA25" s="315"/>
      <c r="CD25" s="516"/>
      <c r="CE25" s="531">
        <v>0</v>
      </c>
      <c r="CF25" s="532">
        <f t="shared" si="27"/>
        <v>0.68286322057776971</v>
      </c>
      <c r="CG25" s="531">
        <v>1</v>
      </c>
      <c r="CH25" s="532">
        <f t="shared" si="28"/>
        <v>0.68286322057776971</v>
      </c>
      <c r="CI25" s="531">
        <v>0</v>
      </c>
      <c r="CJ25" s="532">
        <f t="shared" si="29"/>
        <v>0.68286322057776971</v>
      </c>
      <c r="CK25" s="531">
        <v>0</v>
      </c>
      <c r="CL25" s="532">
        <f t="shared" si="30"/>
        <v>0.68286322057776971</v>
      </c>
      <c r="CM25" s="531">
        <v>0</v>
      </c>
      <c r="CN25" s="532">
        <f t="shared" si="31"/>
        <v>0.68286322057776971</v>
      </c>
      <c r="CO25" s="531">
        <v>0</v>
      </c>
      <c r="CP25" s="532">
        <f t="shared" si="32"/>
        <v>0.68286322057776971</v>
      </c>
      <c r="CQ25" s="531">
        <v>0</v>
      </c>
      <c r="CR25" s="532">
        <f t="shared" si="19"/>
        <v>0.68286322057776971</v>
      </c>
      <c r="CS25" s="516">
        <f t="shared" si="26"/>
        <v>5.0971793234666176</v>
      </c>
      <c r="CT25" s="313"/>
      <c r="CU25" s="313"/>
      <c r="CV25" s="313"/>
      <c r="CW25" s="313"/>
      <c r="CX25" s="313"/>
      <c r="CY25" s="313"/>
      <c r="CZ25" s="313"/>
      <c r="DA25" s="313"/>
      <c r="DB25" s="313"/>
      <c r="DC25" s="313"/>
    </row>
    <row r="26" spans="1:107" s="2" customFormat="1" ht="16.5" customHeight="1">
      <c r="A26" s="1568"/>
      <c r="B26" s="1572"/>
      <c r="C26" s="385">
        <v>9.1</v>
      </c>
      <c r="D26" s="1366" t="s">
        <v>2470</v>
      </c>
      <c r="E26" s="493" t="s">
        <v>1247</v>
      </c>
      <c r="F26" s="320"/>
      <c r="G26" s="320"/>
      <c r="H26" s="335"/>
      <c r="I26" s="384"/>
      <c r="J26" s="658">
        <f t="shared" si="33"/>
        <v>44.5</v>
      </c>
      <c r="K26" s="664"/>
      <c r="L26" s="658">
        <f t="shared" si="34"/>
        <v>49.1</v>
      </c>
      <c r="M26" s="511"/>
      <c r="N26" s="512">
        <f t="shared" si="22"/>
        <v>0</v>
      </c>
      <c r="O26" s="510">
        <f t="shared" si="2"/>
        <v>0</v>
      </c>
      <c r="P26" s="510">
        <f t="shared" si="23"/>
        <v>0</v>
      </c>
      <c r="Q26" s="833">
        <f t="shared" si="24"/>
        <v>0</v>
      </c>
      <c r="R26" s="832">
        <f t="shared" si="25"/>
        <v>0</v>
      </c>
      <c r="S26" s="520"/>
      <c r="T26" s="330">
        <v>5</v>
      </c>
      <c r="U26" s="623"/>
      <c r="V26" s="330">
        <v>9</v>
      </c>
      <c r="W26" s="623"/>
      <c r="X26" s="323">
        <f t="shared" si="3"/>
        <v>0.8</v>
      </c>
      <c r="Y26" s="520"/>
      <c r="Z26" s="330">
        <v>62</v>
      </c>
      <c r="AA26" s="623"/>
      <c r="AB26" s="330">
        <v>84</v>
      </c>
      <c r="AC26" s="623"/>
      <c r="AD26" s="323">
        <f t="shared" si="4"/>
        <v>0.35483870967741926</v>
      </c>
      <c r="AE26" s="520"/>
      <c r="AF26" s="330">
        <v>100</v>
      </c>
      <c r="AG26" s="623"/>
      <c r="AH26" s="330">
        <v>106</v>
      </c>
      <c r="AI26" s="623"/>
      <c r="AJ26" s="323">
        <f t="shared" si="5"/>
        <v>6.0000000000000053E-2</v>
      </c>
      <c r="AK26" s="520"/>
      <c r="AL26" s="330">
        <v>22</v>
      </c>
      <c r="AM26" s="623"/>
      <c r="AN26" s="330">
        <v>14</v>
      </c>
      <c r="AO26" s="623"/>
      <c r="AP26" s="323">
        <f t="shared" si="6"/>
        <v>-0.36363636363636365</v>
      </c>
      <c r="AQ26" s="520"/>
      <c r="AR26" s="330">
        <v>47</v>
      </c>
      <c r="AS26" s="623"/>
      <c r="AT26" s="330">
        <v>78</v>
      </c>
      <c r="AU26" s="623"/>
      <c r="AV26" s="323">
        <f t="shared" si="7"/>
        <v>0.65957446808510634</v>
      </c>
      <c r="AW26" s="520"/>
      <c r="AX26" s="330">
        <v>64</v>
      </c>
      <c r="AY26" s="623"/>
      <c r="AZ26" s="330">
        <v>63</v>
      </c>
      <c r="BA26" s="623"/>
      <c r="BB26" s="323">
        <f t="shared" si="8"/>
        <v>-1.5625E-2</v>
      </c>
      <c r="BC26" s="520"/>
      <c r="BD26" s="330">
        <v>22</v>
      </c>
      <c r="BE26" s="623"/>
      <c r="BF26" s="330">
        <v>24</v>
      </c>
      <c r="BG26" s="623"/>
      <c r="BH26" s="323">
        <f t="shared" si="9"/>
        <v>9.0909090909090828E-2</v>
      </c>
      <c r="BI26" s="520"/>
      <c r="BJ26" s="330">
        <v>84</v>
      </c>
      <c r="BK26" s="623"/>
      <c r="BL26" s="330">
        <v>59</v>
      </c>
      <c r="BM26" s="623"/>
      <c r="BN26" s="323">
        <f t="shared" si="10"/>
        <v>-0.29761904761904767</v>
      </c>
      <c r="BO26" s="520"/>
      <c r="BP26" s="330">
        <v>22</v>
      </c>
      <c r="BQ26" s="623"/>
      <c r="BR26" s="330">
        <v>39</v>
      </c>
      <c r="BS26" s="623"/>
      <c r="BT26" s="323">
        <f t="shared" si="11"/>
        <v>0.77272727272727271</v>
      </c>
      <c r="BU26" s="520"/>
      <c r="BV26" s="330">
        <v>17</v>
      </c>
      <c r="BW26" s="623"/>
      <c r="BX26" s="330">
        <v>15</v>
      </c>
      <c r="BY26" s="623"/>
      <c r="BZ26" s="323">
        <f t="shared" si="12"/>
        <v>-0.11764705882352944</v>
      </c>
      <c r="CA26" s="315"/>
      <c r="CD26" s="516"/>
      <c r="CE26" s="531">
        <v>0</v>
      </c>
      <c r="CF26" s="532">
        <f t="shared" si="27"/>
        <v>0</v>
      </c>
      <c r="CG26" s="531">
        <v>0</v>
      </c>
      <c r="CH26" s="532">
        <f t="shared" si="28"/>
        <v>0</v>
      </c>
      <c r="CI26" s="531">
        <v>0</v>
      </c>
      <c r="CJ26" s="532">
        <f t="shared" si="29"/>
        <v>0</v>
      </c>
      <c r="CK26" s="531">
        <v>0</v>
      </c>
      <c r="CL26" s="532">
        <f t="shared" si="30"/>
        <v>0</v>
      </c>
      <c r="CM26" s="531">
        <v>0</v>
      </c>
      <c r="CN26" s="532">
        <f t="shared" si="31"/>
        <v>0</v>
      </c>
      <c r="CO26" s="531">
        <v>0</v>
      </c>
      <c r="CP26" s="532">
        <f t="shared" si="32"/>
        <v>0</v>
      </c>
      <c r="CQ26" s="531">
        <v>0</v>
      </c>
      <c r="CR26" s="532">
        <f t="shared" si="19"/>
        <v>0</v>
      </c>
      <c r="CS26" s="516">
        <f t="shared" si="26"/>
        <v>0</v>
      </c>
      <c r="CT26" s="313"/>
      <c r="CU26" s="313"/>
      <c r="CV26" s="313"/>
      <c r="CW26" s="313"/>
      <c r="CX26" s="313"/>
      <c r="CY26" s="313"/>
      <c r="CZ26" s="313"/>
      <c r="DA26" s="313"/>
      <c r="DB26" s="313"/>
      <c r="DC26" s="313"/>
    </row>
    <row r="27" spans="1:107" s="2" customFormat="1">
      <c r="A27" s="1568"/>
      <c r="B27" s="1572"/>
      <c r="C27" s="385">
        <v>9.1999999999999993</v>
      </c>
      <c r="D27" s="1366" t="s">
        <v>2471</v>
      </c>
      <c r="E27" s="493" t="s">
        <v>1247</v>
      </c>
      <c r="F27" s="320"/>
      <c r="G27" s="320"/>
      <c r="H27" s="335"/>
      <c r="I27" s="384"/>
      <c r="J27" s="658">
        <f t="shared" si="33"/>
        <v>161.69999999999999</v>
      </c>
      <c r="K27" s="664"/>
      <c r="L27" s="658">
        <f t="shared" si="34"/>
        <v>183.3</v>
      </c>
      <c r="M27" s="511"/>
      <c r="N27" s="512">
        <f t="shared" si="22"/>
        <v>0</v>
      </c>
      <c r="O27" s="510">
        <f t="shared" si="2"/>
        <v>0</v>
      </c>
      <c r="P27" s="510">
        <f t="shared" si="23"/>
        <v>0</v>
      </c>
      <c r="Q27" s="833">
        <f t="shared" si="24"/>
        <v>0</v>
      </c>
      <c r="R27" s="832">
        <f t="shared" si="25"/>
        <v>0</v>
      </c>
      <c r="S27" s="520"/>
      <c r="T27" s="330">
        <v>6</v>
      </c>
      <c r="U27" s="623"/>
      <c r="V27" s="330">
        <v>11</v>
      </c>
      <c r="W27" s="623"/>
      <c r="X27" s="323">
        <f t="shared" si="3"/>
        <v>0.83333333333333326</v>
      </c>
      <c r="Y27" s="520"/>
      <c r="Z27" s="330">
        <v>291</v>
      </c>
      <c r="AA27" s="623"/>
      <c r="AB27" s="330">
        <v>452</v>
      </c>
      <c r="AC27" s="623"/>
      <c r="AD27" s="323">
        <f t="shared" si="4"/>
        <v>0.5532646048109966</v>
      </c>
      <c r="AE27" s="520"/>
      <c r="AF27" s="330">
        <v>300</v>
      </c>
      <c r="AG27" s="623"/>
      <c r="AH27" s="330">
        <v>302</v>
      </c>
      <c r="AI27" s="623"/>
      <c r="AJ27" s="323">
        <f t="shared" si="5"/>
        <v>6.6666666666665986E-3</v>
      </c>
      <c r="AK27" s="520"/>
      <c r="AL27" s="330">
        <v>92</v>
      </c>
      <c r="AM27" s="623"/>
      <c r="AN27" s="330">
        <v>55</v>
      </c>
      <c r="AO27" s="623"/>
      <c r="AP27" s="323">
        <f t="shared" si="6"/>
        <v>-0.40217391304347827</v>
      </c>
      <c r="AQ27" s="520"/>
      <c r="AR27" s="330">
        <v>119</v>
      </c>
      <c r="AS27" s="623"/>
      <c r="AT27" s="330">
        <v>169</v>
      </c>
      <c r="AU27" s="623"/>
      <c r="AV27" s="323">
        <f t="shared" si="7"/>
        <v>0.42016806722689082</v>
      </c>
      <c r="AW27" s="520"/>
      <c r="AX27" s="330">
        <v>244</v>
      </c>
      <c r="AY27" s="623"/>
      <c r="AZ27" s="330">
        <v>356</v>
      </c>
      <c r="BA27" s="623"/>
      <c r="BB27" s="323">
        <f t="shared" si="8"/>
        <v>0.45901639344262302</v>
      </c>
      <c r="BC27" s="520"/>
      <c r="BD27" s="330">
        <v>115</v>
      </c>
      <c r="BE27" s="623"/>
      <c r="BF27" s="330">
        <v>113</v>
      </c>
      <c r="BG27" s="623"/>
      <c r="BH27" s="323">
        <f t="shared" si="9"/>
        <v>-1.7391304347826098E-2</v>
      </c>
      <c r="BI27" s="520"/>
      <c r="BJ27" s="330">
        <v>287</v>
      </c>
      <c r="BK27" s="623"/>
      <c r="BL27" s="330">
        <v>224</v>
      </c>
      <c r="BM27" s="623"/>
      <c r="BN27" s="323">
        <f t="shared" si="10"/>
        <v>-0.21951219512195119</v>
      </c>
      <c r="BO27" s="520"/>
      <c r="BP27" s="330">
        <v>39</v>
      </c>
      <c r="BQ27" s="623"/>
      <c r="BR27" s="330">
        <v>83</v>
      </c>
      <c r="BS27" s="623"/>
      <c r="BT27" s="323">
        <f t="shared" si="11"/>
        <v>1.1282051282051282</v>
      </c>
      <c r="BU27" s="520"/>
      <c r="BV27" s="330">
        <v>124</v>
      </c>
      <c r="BW27" s="623"/>
      <c r="BX27" s="330">
        <v>68</v>
      </c>
      <c r="BY27" s="623"/>
      <c r="BZ27" s="323">
        <f t="shared" si="12"/>
        <v>-0.45161290322580649</v>
      </c>
      <c r="CA27" s="315"/>
      <c r="CD27" s="516"/>
      <c r="CE27" s="531">
        <v>0</v>
      </c>
      <c r="CF27" s="532">
        <f t="shared" si="27"/>
        <v>0</v>
      </c>
      <c r="CG27" s="531">
        <v>0</v>
      </c>
      <c r="CH27" s="532">
        <f t="shared" si="28"/>
        <v>0</v>
      </c>
      <c r="CI27" s="531">
        <v>0</v>
      </c>
      <c r="CJ27" s="532">
        <f t="shared" si="29"/>
        <v>0</v>
      </c>
      <c r="CK27" s="531">
        <v>0</v>
      </c>
      <c r="CL27" s="532">
        <f t="shared" si="30"/>
        <v>0</v>
      </c>
      <c r="CM27" s="531">
        <v>0</v>
      </c>
      <c r="CN27" s="532">
        <f t="shared" si="31"/>
        <v>0</v>
      </c>
      <c r="CO27" s="531">
        <v>0</v>
      </c>
      <c r="CP27" s="532">
        <f t="shared" si="32"/>
        <v>0</v>
      </c>
      <c r="CQ27" s="531">
        <v>0</v>
      </c>
      <c r="CR27" s="532">
        <f t="shared" si="19"/>
        <v>0</v>
      </c>
      <c r="CS27" s="516">
        <f t="shared" si="26"/>
        <v>0</v>
      </c>
      <c r="CT27" s="313"/>
      <c r="CU27" s="313"/>
      <c r="CV27" s="313"/>
      <c r="CW27" s="313"/>
      <c r="CX27" s="313"/>
      <c r="CY27" s="313"/>
      <c r="CZ27" s="313"/>
      <c r="DA27" s="313"/>
      <c r="DB27" s="313"/>
      <c r="DC27" s="313"/>
    </row>
    <row r="28" spans="1:107" s="2" customFormat="1" ht="29.25" customHeight="1">
      <c r="A28" s="1570" t="s">
        <v>1248</v>
      </c>
      <c r="B28" s="1571" t="s">
        <v>1249</v>
      </c>
      <c r="C28" s="23">
        <v>10</v>
      </c>
      <c r="D28" s="1024" t="s">
        <v>2067</v>
      </c>
      <c r="E28" s="492" t="s">
        <v>1215</v>
      </c>
      <c r="F28" s="328" t="s">
        <v>1250</v>
      </c>
      <c r="G28" s="336" t="s">
        <v>1225</v>
      </c>
      <c r="H28" s="334" t="s">
        <v>285</v>
      </c>
      <c r="I28" s="1562">
        <v>6</v>
      </c>
      <c r="J28" s="660">
        <f t="shared" si="33"/>
        <v>1.7</v>
      </c>
      <c r="K28" s="664">
        <f>AVERAGE(BW28,BQ28,BK28,BE28,AY28,AS28,AM28,AG28,AA28,U28)</f>
        <v>5.15</v>
      </c>
      <c r="L28" s="660">
        <f t="shared" si="34"/>
        <v>1.5</v>
      </c>
      <c r="M28" s="511">
        <f>AVERAGE(BY28,BS28,BM28,BG28,BA28,AU28,AO28,AI28,AC28,W28)</f>
        <v>5.25</v>
      </c>
      <c r="N28" s="512">
        <f t="shared" si="22"/>
        <v>9.9999999999999645E-2</v>
      </c>
      <c r="O28" s="510">
        <f t="shared" si="2"/>
        <v>0.75</v>
      </c>
      <c r="P28" s="510">
        <f t="shared" si="23"/>
        <v>0.52499999999999991</v>
      </c>
      <c r="Q28" s="833">
        <f t="shared" si="24"/>
        <v>5.833333333333332E-2</v>
      </c>
      <c r="R28" s="832">
        <f t="shared" si="25"/>
        <v>2.916666666666666E-2</v>
      </c>
      <c r="S28" s="520"/>
      <c r="T28" s="330">
        <v>1</v>
      </c>
      <c r="U28" s="1541">
        <f>6-T28*0.5-T29*2</f>
        <v>5.5</v>
      </c>
      <c r="V28" s="330">
        <v>1</v>
      </c>
      <c r="W28" s="1541">
        <f>6-V28*0.5-V29*2</f>
        <v>5.5</v>
      </c>
      <c r="X28" s="323">
        <f t="shared" si="3"/>
        <v>0</v>
      </c>
      <c r="Y28" s="520"/>
      <c r="Z28" s="330">
        <v>3</v>
      </c>
      <c r="AA28" s="1541">
        <f>6-Z28*0.5-Z29*2</f>
        <v>4.5</v>
      </c>
      <c r="AB28" s="330">
        <v>3</v>
      </c>
      <c r="AC28" s="1541">
        <f>6-AB28*0.5-AB29*2</f>
        <v>4.5</v>
      </c>
      <c r="AD28" s="323">
        <f t="shared" si="4"/>
        <v>0</v>
      </c>
      <c r="AE28" s="520"/>
      <c r="AF28" s="330">
        <v>2</v>
      </c>
      <c r="AG28" s="1541">
        <f>6-AF28*0.5-AF29*2</f>
        <v>5</v>
      </c>
      <c r="AH28" s="330">
        <v>1</v>
      </c>
      <c r="AI28" s="1541">
        <f>6-AH28*0.5-AH29*2</f>
        <v>5.5</v>
      </c>
      <c r="AJ28" s="323">
        <f t="shared" si="5"/>
        <v>-0.5</v>
      </c>
      <c r="AK28" s="520"/>
      <c r="AL28" s="338">
        <v>0</v>
      </c>
      <c r="AM28" s="1541">
        <f>6-AL28*0.5-AL29*2</f>
        <v>6</v>
      </c>
      <c r="AN28" s="338">
        <v>1</v>
      </c>
      <c r="AO28" s="1541">
        <f>6-AN28*0.5-AN29*2</f>
        <v>5.5</v>
      </c>
      <c r="AP28" s="323">
        <f t="shared" si="6"/>
        <v>1</v>
      </c>
      <c r="AQ28" s="520"/>
      <c r="AR28" s="338">
        <v>3</v>
      </c>
      <c r="AS28" s="1541">
        <f>6-AR28*0.5-AR29*2</f>
        <v>4.5</v>
      </c>
      <c r="AT28" s="338">
        <v>3</v>
      </c>
      <c r="AU28" s="1541">
        <f>6-AT28*0.5-AT29*2</f>
        <v>4.5</v>
      </c>
      <c r="AV28" s="323">
        <f t="shared" si="7"/>
        <v>0</v>
      </c>
      <c r="AW28" s="520"/>
      <c r="AX28" s="330">
        <v>4</v>
      </c>
      <c r="AY28" s="1541">
        <f>6-AX28*0.5-AX29*2</f>
        <v>4</v>
      </c>
      <c r="AZ28" s="330">
        <v>3</v>
      </c>
      <c r="BA28" s="1541">
        <f>6-AZ28*0.5-AZ29*2</f>
        <v>4.5</v>
      </c>
      <c r="BB28" s="323">
        <f t="shared" si="8"/>
        <v>-0.25</v>
      </c>
      <c r="BC28" s="520"/>
      <c r="BD28" s="330">
        <v>0</v>
      </c>
      <c r="BE28" s="1541">
        <f>6-BD28*0.5-BD29*2</f>
        <v>6</v>
      </c>
      <c r="BF28" s="330">
        <v>0</v>
      </c>
      <c r="BG28" s="1541">
        <f>6-BF28*0.5-BF29*2</f>
        <v>6</v>
      </c>
      <c r="BH28" s="323">
        <f t="shared" si="9"/>
        <v>0</v>
      </c>
      <c r="BI28" s="520"/>
      <c r="BJ28" s="330">
        <v>2</v>
      </c>
      <c r="BK28" s="1541">
        <f>6-BJ28*0.5-BJ29*2</f>
        <v>5</v>
      </c>
      <c r="BL28" s="330">
        <v>2</v>
      </c>
      <c r="BM28" s="1541">
        <f>6-BL28*0.5-BL29*2</f>
        <v>5</v>
      </c>
      <c r="BN28" s="323">
        <f t="shared" si="10"/>
        <v>0</v>
      </c>
      <c r="BO28" s="520"/>
      <c r="BP28" s="330">
        <v>0</v>
      </c>
      <c r="BQ28" s="1541">
        <f>6-BP28*0.5-BP29*2</f>
        <v>6</v>
      </c>
      <c r="BR28" s="330">
        <v>0</v>
      </c>
      <c r="BS28" s="1541">
        <f>6-BR28*0.5-BR29*2</f>
        <v>6</v>
      </c>
      <c r="BT28" s="323">
        <f t="shared" si="11"/>
        <v>0</v>
      </c>
      <c r="BU28" s="520"/>
      <c r="BV28" s="338">
        <v>2</v>
      </c>
      <c r="BW28" s="1541">
        <f>6-BV28*0.5-BV29*2</f>
        <v>5</v>
      </c>
      <c r="BX28" s="338">
        <v>1</v>
      </c>
      <c r="BY28" s="1541">
        <f>6-BX28*0.5-BX29*2</f>
        <v>5.5</v>
      </c>
      <c r="BZ28" s="323">
        <f t="shared" si="12"/>
        <v>-0.5</v>
      </c>
      <c r="CA28" s="315"/>
      <c r="CD28" s="516" t="s">
        <v>1639</v>
      </c>
      <c r="CE28" s="531">
        <v>0</v>
      </c>
      <c r="CF28" s="532">
        <f t="shared" si="27"/>
        <v>5.25</v>
      </c>
      <c r="CG28" s="531">
        <v>1</v>
      </c>
      <c r="CH28" s="533">
        <v>5.6</v>
      </c>
      <c r="CI28" s="531">
        <v>1</v>
      </c>
      <c r="CJ28" s="533">
        <v>6</v>
      </c>
      <c r="CK28" s="531">
        <v>1</v>
      </c>
      <c r="CL28" s="533">
        <v>5.95</v>
      </c>
      <c r="CM28" s="531">
        <v>1</v>
      </c>
      <c r="CN28" s="533">
        <v>5.95</v>
      </c>
      <c r="CO28" s="531">
        <v>1</v>
      </c>
      <c r="CP28" s="533">
        <v>6</v>
      </c>
      <c r="CQ28" s="531">
        <v>0</v>
      </c>
      <c r="CR28" s="532">
        <f t="shared" si="19"/>
        <v>5.25</v>
      </c>
      <c r="CS28" s="516">
        <f t="shared" si="26"/>
        <v>39.75</v>
      </c>
      <c r="CT28" s="313"/>
      <c r="CU28" s="313"/>
      <c r="CV28" s="313"/>
      <c r="CW28" s="313"/>
      <c r="CX28" s="313"/>
      <c r="CY28" s="313"/>
      <c r="CZ28" s="313"/>
      <c r="DA28" s="313"/>
      <c r="DB28" s="313"/>
      <c r="DC28" s="313"/>
    </row>
    <row r="29" spans="1:107" s="2" customFormat="1" ht="28.5">
      <c r="A29" s="1568"/>
      <c r="B29" s="1572"/>
      <c r="C29" s="23">
        <v>11</v>
      </c>
      <c r="D29" s="329" t="s">
        <v>1251</v>
      </c>
      <c r="E29" s="492" t="s">
        <v>1215</v>
      </c>
      <c r="F29" s="328" t="s">
        <v>1250</v>
      </c>
      <c r="G29" s="336" t="s">
        <v>489</v>
      </c>
      <c r="H29" s="334" t="s">
        <v>285</v>
      </c>
      <c r="I29" s="1562"/>
      <c r="J29" s="660">
        <f t="shared" si="33"/>
        <v>0</v>
      </c>
      <c r="K29" s="664">
        <v>0</v>
      </c>
      <c r="L29" s="660">
        <f t="shared" si="34"/>
        <v>0</v>
      </c>
      <c r="M29" s="511"/>
      <c r="N29" s="512">
        <f t="shared" si="22"/>
        <v>0</v>
      </c>
      <c r="O29" s="510">
        <f t="shared" si="2"/>
        <v>0</v>
      </c>
      <c r="P29" s="510">
        <f t="shared" si="23"/>
        <v>0</v>
      </c>
      <c r="Q29" s="833">
        <f t="shared" si="24"/>
        <v>0</v>
      </c>
      <c r="R29" s="832">
        <f t="shared" si="25"/>
        <v>0</v>
      </c>
      <c r="S29" s="520"/>
      <c r="T29" s="330">
        <v>0</v>
      </c>
      <c r="U29" s="1541"/>
      <c r="V29" s="330">
        <v>0</v>
      </c>
      <c r="W29" s="1541"/>
      <c r="X29" s="323">
        <f t="shared" si="3"/>
        <v>0</v>
      </c>
      <c r="Y29" s="520"/>
      <c r="Z29" s="330">
        <v>0</v>
      </c>
      <c r="AA29" s="1541"/>
      <c r="AB29" s="330">
        <v>0</v>
      </c>
      <c r="AC29" s="1541"/>
      <c r="AD29" s="323">
        <f t="shared" si="4"/>
        <v>0</v>
      </c>
      <c r="AE29" s="520"/>
      <c r="AF29" s="330">
        <v>0</v>
      </c>
      <c r="AG29" s="1541"/>
      <c r="AH29" s="330">
        <v>0</v>
      </c>
      <c r="AI29" s="1541"/>
      <c r="AJ29" s="323">
        <f t="shared" si="5"/>
        <v>0</v>
      </c>
      <c r="AK29" s="520"/>
      <c r="AL29" s="338">
        <v>0</v>
      </c>
      <c r="AM29" s="1541"/>
      <c r="AN29" s="338">
        <v>0</v>
      </c>
      <c r="AO29" s="1541"/>
      <c r="AP29" s="323">
        <f t="shared" si="6"/>
        <v>0</v>
      </c>
      <c r="AQ29" s="520"/>
      <c r="AR29" s="338">
        <v>0</v>
      </c>
      <c r="AS29" s="1541"/>
      <c r="AT29" s="338">
        <v>0</v>
      </c>
      <c r="AU29" s="1541"/>
      <c r="AV29" s="323">
        <f t="shared" si="7"/>
        <v>0</v>
      </c>
      <c r="AW29" s="520"/>
      <c r="AX29" s="330">
        <v>0</v>
      </c>
      <c r="AY29" s="1541"/>
      <c r="AZ29" s="330">
        <v>0</v>
      </c>
      <c r="BA29" s="1541"/>
      <c r="BB29" s="323">
        <f t="shared" si="8"/>
        <v>0</v>
      </c>
      <c r="BC29" s="520"/>
      <c r="BD29" s="330">
        <v>0</v>
      </c>
      <c r="BE29" s="1541"/>
      <c r="BF29" s="330">
        <v>0</v>
      </c>
      <c r="BG29" s="1541"/>
      <c r="BH29" s="323">
        <f t="shared" si="9"/>
        <v>0</v>
      </c>
      <c r="BI29" s="520"/>
      <c r="BJ29" s="330">
        <v>0</v>
      </c>
      <c r="BK29" s="1541"/>
      <c r="BL29" s="330">
        <v>0</v>
      </c>
      <c r="BM29" s="1541"/>
      <c r="BN29" s="323">
        <f t="shared" si="10"/>
        <v>0</v>
      </c>
      <c r="BO29" s="520"/>
      <c r="BP29" s="330">
        <v>0</v>
      </c>
      <c r="BQ29" s="1541"/>
      <c r="BR29" s="330">
        <v>0</v>
      </c>
      <c r="BS29" s="1541"/>
      <c r="BT29" s="323">
        <f t="shared" si="11"/>
        <v>0</v>
      </c>
      <c r="BU29" s="520"/>
      <c r="BV29" s="338">
        <v>0</v>
      </c>
      <c r="BW29" s="1541"/>
      <c r="BX29" s="338">
        <v>0</v>
      </c>
      <c r="BY29" s="1541"/>
      <c r="BZ29" s="323">
        <f t="shared" si="12"/>
        <v>0</v>
      </c>
      <c r="CA29" s="315"/>
      <c r="CD29" s="516" t="s">
        <v>1639</v>
      </c>
      <c r="CE29" s="531">
        <v>0</v>
      </c>
      <c r="CF29" s="532">
        <f t="shared" si="27"/>
        <v>0</v>
      </c>
      <c r="CG29" s="531">
        <v>1</v>
      </c>
      <c r="CH29" s="532">
        <f t="shared" ref="CH29:CH34" si="35">$M29</f>
        <v>0</v>
      </c>
      <c r="CI29" s="531">
        <v>1</v>
      </c>
      <c r="CJ29" s="532">
        <f t="shared" ref="CJ29:CJ34" si="36">$M29</f>
        <v>0</v>
      </c>
      <c r="CK29" s="531">
        <v>1</v>
      </c>
      <c r="CL29" s="532">
        <f t="shared" ref="CL29:CL34" si="37">$M29</f>
        <v>0</v>
      </c>
      <c r="CM29" s="531">
        <v>1</v>
      </c>
      <c r="CN29" s="532">
        <f t="shared" ref="CN29:CN34" si="38">$M29</f>
        <v>0</v>
      </c>
      <c r="CO29" s="531">
        <v>1</v>
      </c>
      <c r="CP29" s="532">
        <f t="shared" ref="CP29:CP34" si="39">$M29</f>
        <v>0</v>
      </c>
      <c r="CQ29" s="531">
        <v>0</v>
      </c>
      <c r="CR29" s="532">
        <f t="shared" si="19"/>
        <v>0</v>
      </c>
      <c r="CS29" s="516">
        <f t="shared" si="26"/>
        <v>5</v>
      </c>
      <c r="CT29" s="313"/>
      <c r="CU29" s="313"/>
      <c r="CV29" s="313"/>
      <c r="CW29" s="313"/>
      <c r="CX29" s="313"/>
      <c r="CY29" s="313"/>
      <c r="CZ29" s="313"/>
      <c r="DA29" s="313"/>
      <c r="DB29" s="313"/>
      <c r="DC29" s="313"/>
    </row>
    <row r="30" spans="1:107" s="2" customFormat="1" ht="28.5">
      <c r="A30" s="1570" t="s">
        <v>1253</v>
      </c>
      <c r="B30" s="1571" t="s">
        <v>1254</v>
      </c>
      <c r="C30" s="23">
        <v>12</v>
      </c>
      <c r="D30" s="329" t="s">
        <v>1252</v>
      </c>
      <c r="E30" s="492" t="s">
        <v>1215</v>
      </c>
      <c r="F30" s="328" t="s">
        <v>1250</v>
      </c>
      <c r="G30" s="336" t="s">
        <v>1225</v>
      </c>
      <c r="H30" s="334" t="s">
        <v>285</v>
      </c>
      <c r="I30" s="1562">
        <v>6</v>
      </c>
      <c r="J30" s="660">
        <f t="shared" si="33"/>
        <v>0</v>
      </c>
      <c r="K30" s="664">
        <f>AVERAGE(BW30,BQ30,BK30,BE30,AY30,AS30,AM30,AG30,AA30,U30)</f>
        <v>6</v>
      </c>
      <c r="L30" s="660">
        <f t="shared" si="34"/>
        <v>0</v>
      </c>
      <c r="M30" s="511">
        <f>AVERAGE(BY30,BS30,BM30,BG30,BA30,AU30,AO30,AI30,AC30,W30)</f>
        <v>6</v>
      </c>
      <c r="N30" s="512">
        <f t="shared" si="22"/>
        <v>0</v>
      </c>
      <c r="O30" s="510">
        <f t="shared" si="2"/>
        <v>0</v>
      </c>
      <c r="P30" s="510">
        <f t="shared" si="23"/>
        <v>0</v>
      </c>
      <c r="Q30" s="833">
        <f t="shared" si="24"/>
        <v>0</v>
      </c>
      <c r="R30" s="832">
        <f t="shared" si="25"/>
        <v>0</v>
      </c>
      <c r="S30" s="520"/>
      <c r="T30" s="330">
        <v>0</v>
      </c>
      <c r="U30" s="1541">
        <f>6-T30*0.5-T31*2</f>
        <v>6</v>
      </c>
      <c r="V30" s="330">
        <v>0</v>
      </c>
      <c r="W30" s="1541">
        <f>6-V30*0.5-V31*2</f>
        <v>6</v>
      </c>
      <c r="X30" s="323">
        <f t="shared" si="3"/>
        <v>0</v>
      </c>
      <c r="Y30" s="520"/>
      <c r="Z30" s="330">
        <v>0</v>
      </c>
      <c r="AA30" s="1541">
        <f>6-Z30*0.5-Z31*2</f>
        <v>6</v>
      </c>
      <c r="AB30" s="330">
        <v>0</v>
      </c>
      <c r="AC30" s="1541">
        <f>6-AB30*0.5-AB31*2</f>
        <v>6</v>
      </c>
      <c r="AD30" s="323">
        <f t="shared" si="4"/>
        <v>0</v>
      </c>
      <c r="AE30" s="520"/>
      <c r="AF30" s="330">
        <v>0</v>
      </c>
      <c r="AG30" s="1541">
        <f>6-AF30*0.5-AF31*2</f>
        <v>6</v>
      </c>
      <c r="AH30" s="330">
        <v>0</v>
      </c>
      <c r="AI30" s="1541">
        <f>6-AH30*0.5-AH31*2</f>
        <v>6</v>
      </c>
      <c r="AJ30" s="323">
        <f t="shared" si="5"/>
        <v>0</v>
      </c>
      <c r="AK30" s="520"/>
      <c r="AL30" s="338">
        <v>0</v>
      </c>
      <c r="AM30" s="1541">
        <f>6-AL30*0.5-AL31*2</f>
        <v>6</v>
      </c>
      <c r="AN30" s="338">
        <v>0</v>
      </c>
      <c r="AO30" s="1541">
        <f>6-AN30*0.5-AN31*2</f>
        <v>6</v>
      </c>
      <c r="AP30" s="323">
        <f t="shared" si="6"/>
        <v>0</v>
      </c>
      <c r="AQ30" s="520"/>
      <c r="AR30" s="338">
        <v>0</v>
      </c>
      <c r="AS30" s="1541">
        <f>6-AR30*0.5-AR31*2</f>
        <v>6</v>
      </c>
      <c r="AT30" s="338">
        <v>0</v>
      </c>
      <c r="AU30" s="1541">
        <f>6-AT30*0.5-AT31*2</f>
        <v>6</v>
      </c>
      <c r="AV30" s="323">
        <f t="shared" si="7"/>
        <v>0</v>
      </c>
      <c r="AW30" s="520"/>
      <c r="AX30" s="330">
        <v>0</v>
      </c>
      <c r="AY30" s="1541">
        <f>6-AX30*0.5-AX31*2</f>
        <v>6</v>
      </c>
      <c r="AZ30" s="330">
        <v>0</v>
      </c>
      <c r="BA30" s="1541">
        <f>6-AZ30*0.5-AZ31*2</f>
        <v>6</v>
      </c>
      <c r="BB30" s="323">
        <f t="shared" si="8"/>
        <v>0</v>
      </c>
      <c r="BC30" s="520"/>
      <c r="BD30" s="330">
        <v>0</v>
      </c>
      <c r="BE30" s="1541">
        <f>6-BD30*0.5-BD31*2</f>
        <v>6</v>
      </c>
      <c r="BF30" s="330">
        <v>0</v>
      </c>
      <c r="BG30" s="1541">
        <f>6-BF30*0.5-BF31*2</f>
        <v>6</v>
      </c>
      <c r="BH30" s="323">
        <f t="shared" si="9"/>
        <v>0</v>
      </c>
      <c r="BI30" s="520"/>
      <c r="BJ30" s="330">
        <v>0</v>
      </c>
      <c r="BK30" s="1541">
        <f>6-BJ30*0.5-BJ31*2</f>
        <v>6</v>
      </c>
      <c r="BL30" s="330">
        <v>0</v>
      </c>
      <c r="BM30" s="1541">
        <f>6-BL30*0.5-BL31*2</f>
        <v>6</v>
      </c>
      <c r="BN30" s="323">
        <f t="shared" si="10"/>
        <v>0</v>
      </c>
      <c r="BO30" s="520"/>
      <c r="BP30" s="330">
        <v>0</v>
      </c>
      <c r="BQ30" s="1541">
        <f>6-BP30*0.5-BP31*2</f>
        <v>6</v>
      </c>
      <c r="BR30" s="330">
        <v>0</v>
      </c>
      <c r="BS30" s="1541">
        <f>6-BR30*0.5-BR31*2</f>
        <v>6</v>
      </c>
      <c r="BT30" s="323">
        <f t="shared" si="11"/>
        <v>0</v>
      </c>
      <c r="BU30" s="520"/>
      <c r="BV30" s="338">
        <v>0</v>
      </c>
      <c r="BW30" s="1541">
        <f>6-BV30*0.5-BV31*2</f>
        <v>6</v>
      </c>
      <c r="BX30" s="338">
        <v>0</v>
      </c>
      <c r="BY30" s="1541">
        <f>6-BX30*0.5-BX31*2</f>
        <v>6</v>
      </c>
      <c r="BZ30" s="323">
        <f t="shared" si="12"/>
        <v>0</v>
      </c>
      <c r="CA30" s="315"/>
      <c r="CD30" s="516" t="s">
        <v>1639</v>
      </c>
      <c r="CE30" s="531">
        <v>0</v>
      </c>
      <c r="CF30" s="532">
        <f t="shared" si="27"/>
        <v>6</v>
      </c>
      <c r="CG30" s="531">
        <v>1</v>
      </c>
      <c r="CH30" s="532">
        <f t="shared" si="35"/>
        <v>6</v>
      </c>
      <c r="CI30" s="531">
        <v>1</v>
      </c>
      <c r="CJ30" s="532">
        <f t="shared" si="36"/>
        <v>6</v>
      </c>
      <c r="CK30" s="531">
        <v>1</v>
      </c>
      <c r="CL30" s="532">
        <f t="shared" si="37"/>
        <v>6</v>
      </c>
      <c r="CM30" s="531">
        <v>1</v>
      </c>
      <c r="CN30" s="532">
        <f t="shared" si="38"/>
        <v>6</v>
      </c>
      <c r="CO30" s="531">
        <v>0</v>
      </c>
      <c r="CP30" s="532">
        <f t="shared" si="39"/>
        <v>6</v>
      </c>
      <c r="CQ30" s="531">
        <v>0</v>
      </c>
      <c r="CR30" s="532">
        <f t="shared" si="19"/>
        <v>6</v>
      </c>
      <c r="CS30" s="516">
        <f t="shared" si="26"/>
        <v>40</v>
      </c>
      <c r="CT30" s="313"/>
      <c r="CU30" s="313"/>
      <c r="CV30" s="313"/>
      <c r="CW30" s="313"/>
      <c r="CX30" s="313"/>
      <c r="CY30" s="313"/>
      <c r="CZ30" s="313"/>
      <c r="DA30" s="313"/>
      <c r="DB30" s="313"/>
      <c r="DC30" s="313"/>
    </row>
    <row r="31" spans="1:107" s="2" customFormat="1" ht="28.5">
      <c r="A31" s="1568"/>
      <c r="B31" s="1572"/>
      <c r="C31" s="23">
        <v>13</v>
      </c>
      <c r="D31" s="329" t="s">
        <v>1255</v>
      </c>
      <c r="E31" s="492" t="s">
        <v>1215</v>
      </c>
      <c r="F31" s="328" t="s">
        <v>1250</v>
      </c>
      <c r="G31" s="336" t="s">
        <v>489</v>
      </c>
      <c r="H31" s="334" t="s">
        <v>285</v>
      </c>
      <c r="I31" s="1562"/>
      <c r="J31" s="660">
        <f t="shared" si="33"/>
        <v>0</v>
      </c>
      <c r="K31" s="664">
        <v>0</v>
      </c>
      <c r="L31" s="660">
        <f t="shared" si="34"/>
        <v>0</v>
      </c>
      <c r="M31" s="511"/>
      <c r="N31" s="512">
        <f t="shared" si="22"/>
        <v>0</v>
      </c>
      <c r="O31" s="510">
        <f t="shared" si="2"/>
        <v>0</v>
      </c>
      <c r="P31" s="510">
        <f t="shared" si="23"/>
        <v>0</v>
      </c>
      <c r="Q31" s="833">
        <f t="shared" si="24"/>
        <v>0</v>
      </c>
      <c r="R31" s="832">
        <f t="shared" si="25"/>
        <v>0</v>
      </c>
      <c r="S31" s="520"/>
      <c r="T31" s="330">
        <v>0</v>
      </c>
      <c r="U31" s="1541"/>
      <c r="V31" s="330">
        <v>0</v>
      </c>
      <c r="W31" s="1541"/>
      <c r="X31" s="323">
        <f t="shared" si="3"/>
        <v>0</v>
      </c>
      <c r="Y31" s="520"/>
      <c r="Z31" s="330">
        <v>0</v>
      </c>
      <c r="AA31" s="1541"/>
      <c r="AB31" s="330">
        <v>0</v>
      </c>
      <c r="AC31" s="1541"/>
      <c r="AD31" s="323">
        <f t="shared" si="4"/>
        <v>0</v>
      </c>
      <c r="AE31" s="520"/>
      <c r="AF31" s="330">
        <v>0</v>
      </c>
      <c r="AG31" s="1541"/>
      <c r="AH31" s="330">
        <v>0</v>
      </c>
      <c r="AI31" s="1541"/>
      <c r="AJ31" s="323">
        <f t="shared" si="5"/>
        <v>0</v>
      </c>
      <c r="AK31" s="520"/>
      <c r="AL31" s="338">
        <v>0</v>
      </c>
      <c r="AM31" s="1541"/>
      <c r="AN31" s="338">
        <v>0</v>
      </c>
      <c r="AO31" s="1541"/>
      <c r="AP31" s="323">
        <f t="shared" si="6"/>
        <v>0</v>
      </c>
      <c r="AQ31" s="520"/>
      <c r="AR31" s="338">
        <v>0</v>
      </c>
      <c r="AS31" s="1541"/>
      <c r="AT31" s="338">
        <v>0</v>
      </c>
      <c r="AU31" s="1541"/>
      <c r="AV31" s="323">
        <f t="shared" si="7"/>
        <v>0</v>
      </c>
      <c r="AW31" s="520"/>
      <c r="AX31" s="330">
        <v>0</v>
      </c>
      <c r="AY31" s="1541"/>
      <c r="AZ31" s="330">
        <v>0</v>
      </c>
      <c r="BA31" s="1541"/>
      <c r="BB31" s="323">
        <f t="shared" si="8"/>
        <v>0</v>
      </c>
      <c r="BC31" s="520"/>
      <c r="BD31" s="330">
        <v>0</v>
      </c>
      <c r="BE31" s="1541"/>
      <c r="BF31" s="330">
        <v>0</v>
      </c>
      <c r="BG31" s="1541"/>
      <c r="BH31" s="323">
        <f t="shared" si="9"/>
        <v>0</v>
      </c>
      <c r="BI31" s="520"/>
      <c r="BJ31" s="330">
        <v>0</v>
      </c>
      <c r="BK31" s="1541"/>
      <c r="BL31" s="330">
        <v>0</v>
      </c>
      <c r="BM31" s="1541"/>
      <c r="BN31" s="323">
        <f t="shared" si="10"/>
        <v>0</v>
      </c>
      <c r="BO31" s="520"/>
      <c r="BP31" s="330">
        <v>0</v>
      </c>
      <c r="BQ31" s="1541"/>
      <c r="BR31" s="330">
        <v>0</v>
      </c>
      <c r="BS31" s="1541"/>
      <c r="BT31" s="323">
        <f t="shared" si="11"/>
        <v>0</v>
      </c>
      <c r="BU31" s="520"/>
      <c r="BV31" s="338">
        <v>0</v>
      </c>
      <c r="BW31" s="1541"/>
      <c r="BX31" s="338">
        <v>0</v>
      </c>
      <c r="BY31" s="1541"/>
      <c r="BZ31" s="323">
        <f t="shared" si="12"/>
        <v>0</v>
      </c>
      <c r="CA31" s="315"/>
      <c r="CD31" s="516" t="s">
        <v>1639</v>
      </c>
      <c r="CE31" s="531">
        <v>0</v>
      </c>
      <c r="CF31" s="532">
        <f t="shared" si="27"/>
        <v>0</v>
      </c>
      <c r="CG31" s="531">
        <v>1</v>
      </c>
      <c r="CH31" s="532">
        <f t="shared" si="35"/>
        <v>0</v>
      </c>
      <c r="CI31" s="531">
        <v>1</v>
      </c>
      <c r="CJ31" s="532">
        <f t="shared" si="36"/>
        <v>0</v>
      </c>
      <c r="CK31" s="531">
        <v>1</v>
      </c>
      <c r="CL31" s="532">
        <f t="shared" si="37"/>
        <v>0</v>
      </c>
      <c r="CM31" s="531">
        <v>1</v>
      </c>
      <c r="CN31" s="532">
        <f t="shared" si="38"/>
        <v>0</v>
      </c>
      <c r="CO31" s="531">
        <v>0</v>
      </c>
      <c r="CP31" s="532">
        <f t="shared" si="39"/>
        <v>0</v>
      </c>
      <c r="CQ31" s="531">
        <v>0</v>
      </c>
      <c r="CR31" s="532">
        <f t="shared" si="19"/>
        <v>0</v>
      </c>
      <c r="CS31" s="516">
        <f t="shared" si="26"/>
        <v>4</v>
      </c>
      <c r="CT31" s="313"/>
      <c r="CU31" s="313"/>
      <c r="CV31" s="313"/>
      <c r="CW31" s="313"/>
      <c r="CX31" s="313"/>
      <c r="CY31" s="313"/>
      <c r="CZ31" s="313"/>
      <c r="DA31" s="313"/>
      <c r="DB31" s="313"/>
      <c r="DC31" s="313"/>
    </row>
    <row r="32" spans="1:107" s="2" customFormat="1" ht="17.25" customHeight="1">
      <c r="A32" s="1565" t="s">
        <v>2066</v>
      </c>
      <c r="B32" s="1566" t="s">
        <v>1256</v>
      </c>
      <c r="C32" s="23">
        <v>14</v>
      </c>
      <c r="D32" s="1024" t="s">
        <v>1797</v>
      </c>
      <c r="E32" s="492" t="s">
        <v>1215</v>
      </c>
      <c r="F32" s="328" t="s">
        <v>1250</v>
      </c>
      <c r="G32" s="336" t="s">
        <v>1225</v>
      </c>
      <c r="H32" s="334" t="s">
        <v>285</v>
      </c>
      <c r="I32" s="1562">
        <v>6</v>
      </c>
      <c r="J32" s="660">
        <f t="shared" si="33"/>
        <v>0</v>
      </c>
      <c r="K32" s="664">
        <f>AVERAGE(BW32,BQ32,BK32,BE32,AY32,AS32,AM32,AG32,AA32,U32)</f>
        <v>6</v>
      </c>
      <c r="L32" s="660">
        <f t="shared" si="34"/>
        <v>0.1</v>
      </c>
      <c r="M32" s="511">
        <f>AVERAGE(BY32,BS32,BM32,BG32,BA32,AU32,AO32,AI32,AC32,W32)</f>
        <v>5.7</v>
      </c>
      <c r="N32" s="512">
        <f t="shared" si="22"/>
        <v>-0.29999999999999982</v>
      </c>
      <c r="O32" s="510">
        <f t="shared" si="2"/>
        <v>0.29999999999999982</v>
      </c>
      <c r="P32" s="510">
        <f t="shared" si="23"/>
        <v>0.20999999999999985</v>
      </c>
      <c r="Q32" s="833">
        <f t="shared" si="24"/>
        <v>2.3333333333333317E-2</v>
      </c>
      <c r="R32" s="832">
        <f t="shared" si="25"/>
        <v>1.1666666666666659E-2</v>
      </c>
      <c r="S32" s="520"/>
      <c r="T32" s="330">
        <v>0</v>
      </c>
      <c r="U32" s="1541">
        <f>6-T32*3-T33*3</f>
        <v>6</v>
      </c>
      <c r="V32" s="330">
        <v>0</v>
      </c>
      <c r="W32" s="1541">
        <f>6-V32*3-V33*3</f>
        <v>6</v>
      </c>
      <c r="X32" s="323">
        <f t="shared" si="3"/>
        <v>0</v>
      </c>
      <c r="Y32" s="520"/>
      <c r="Z32" s="330">
        <v>0</v>
      </c>
      <c r="AA32" s="1541">
        <f>6-Z32*3-Z33*3</f>
        <v>6</v>
      </c>
      <c r="AB32" s="330">
        <v>0</v>
      </c>
      <c r="AC32" s="1541">
        <f>6-AB32*3-AB33*3</f>
        <v>6</v>
      </c>
      <c r="AD32" s="323">
        <f t="shared" si="4"/>
        <v>0</v>
      </c>
      <c r="AE32" s="520"/>
      <c r="AF32" s="330">
        <v>0</v>
      </c>
      <c r="AG32" s="1541">
        <f>6-AF32*3-AF33*3</f>
        <v>6</v>
      </c>
      <c r="AH32" s="330">
        <v>0</v>
      </c>
      <c r="AI32" s="1541">
        <f>6-AH32*3-AH33*3</f>
        <v>6</v>
      </c>
      <c r="AJ32" s="323">
        <f t="shared" si="5"/>
        <v>0</v>
      </c>
      <c r="AK32" s="520"/>
      <c r="AL32" s="338">
        <v>0</v>
      </c>
      <c r="AM32" s="1541">
        <f>6-AL32*3-AL33*3</f>
        <v>6</v>
      </c>
      <c r="AN32" s="338">
        <v>0</v>
      </c>
      <c r="AO32" s="1541">
        <f>6-AN32*3-AN33*3</f>
        <v>6</v>
      </c>
      <c r="AP32" s="323">
        <f t="shared" si="6"/>
        <v>0</v>
      </c>
      <c r="AQ32" s="520"/>
      <c r="AR32" s="338">
        <v>0</v>
      </c>
      <c r="AS32" s="1541">
        <f>6-AR32*3-AR33*3</f>
        <v>6</v>
      </c>
      <c r="AT32" s="338">
        <v>0</v>
      </c>
      <c r="AU32" s="1541">
        <f>6-AT32*3-AT33*3</f>
        <v>6</v>
      </c>
      <c r="AV32" s="323">
        <f t="shared" si="7"/>
        <v>0</v>
      </c>
      <c r="AW32" s="520"/>
      <c r="AX32" s="330">
        <v>0</v>
      </c>
      <c r="AY32" s="1541">
        <f>6-AX32*3-AX33*3</f>
        <v>6</v>
      </c>
      <c r="AZ32" s="330">
        <v>1</v>
      </c>
      <c r="BA32" s="1541">
        <f>6-AZ32*3-AZ33*3</f>
        <v>3</v>
      </c>
      <c r="BB32" s="323">
        <f t="shared" si="8"/>
        <v>1</v>
      </c>
      <c r="BC32" s="520"/>
      <c r="BD32" s="330">
        <v>0</v>
      </c>
      <c r="BE32" s="1541">
        <f>6-BD32*3-BD33*3</f>
        <v>6</v>
      </c>
      <c r="BF32" s="330">
        <v>0</v>
      </c>
      <c r="BG32" s="1541">
        <f>6-BF32*3-BF33*3</f>
        <v>6</v>
      </c>
      <c r="BH32" s="323">
        <f t="shared" si="9"/>
        <v>0</v>
      </c>
      <c r="BI32" s="520"/>
      <c r="BJ32" s="330">
        <v>0</v>
      </c>
      <c r="BK32" s="1541">
        <f>6-BJ32*3-BJ33*3</f>
        <v>6</v>
      </c>
      <c r="BL32" s="330">
        <v>0</v>
      </c>
      <c r="BM32" s="1541">
        <f>6-BL32*3-BL33*3</f>
        <v>6</v>
      </c>
      <c r="BN32" s="323">
        <f t="shared" si="10"/>
        <v>0</v>
      </c>
      <c r="BO32" s="520"/>
      <c r="BP32" s="330">
        <v>0</v>
      </c>
      <c r="BQ32" s="1541">
        <f>6-BP32*3-BP33*3</f>
        <v>6</v>
      </c>
      <c r="BR32" s="330">
        <v>0</v>
      </c>
      <c r="BS32" s="1541">
        <f>6-BR32*3-BR33*3</f>
        <v>6</v>
      </c>
      <c r="BT32" s="323">
        <f t="shared" si="11"/>
        <v>0</v>
      </c>
      <c r="BU32" s="520"/>
      <c r="BV32" s="338">
        <v>0</v>
      </c>
      <c r="BW32" s="1541">
        <f>6-BV32*3-BV33*3</f>
        <v>6</v>
      </c>
      <c r="BX32" s="338">
        <v>0</v>
      </c>
      <c r="BY32" s="1541">
        <f>6-BX32*3-BX33*3</f>
        <v>6</v>
      </c>
      <c r="BZ32" s="323">
        <f>IF(AND(BV32=0,BX32&lt;&gt;0),1,IF(AND(BV32=0,BX32=0),0,BX32/BV32-1))</f>
        <v>0</v>
      </c>
      <c r="CA32" s="315"/>
      <c r="CD32" s="516" t="s">
        <v>1639</v>
      </c>
      <c r="CE32" s="531">
        <v>0</v>
      </c>
      <c r="CF32" s="532">
        <f t="shared" si="27"/>
        <v>5.7</v>
      </c>
      <c r="CG32" s="531">
        <v>1</v>
      </c>
      <c r="CH32" s="532">
        <f t="shared" si="35"/>
        <v>5.7</v>
      </c>
      <c r="CI32" s="531">
        <v>1</v>
      </c>
      <c r="CJ32" s="532">
        <f t="shared" si="36"/>
        <v>5.7</v>
      </c>
      <c r="CK32" s="531">
        <v>1</v>
      </c>
      <c r="CL32" s="532">
        <f t="shared" si="37"/>
        <v>5.7</v>
      </c>
      <c r="CM32" s="531">
        <v>1</v>
      </c>
      <c r="CN32" s="532">
        <f t="shared" si="38"/>
        <v>5.7</v>
      </c>
      <c r="CO32" s="531">
        <v>1</v>
      </c>
      <c r="CP32" s="532">
        <f t="shared" si="39"/>
        <v>5.7</v>
      </c>
      <c r="CQ32" s="531">
        <v>0</v>
      </c>
      <c r="CR32" s="532">
        <f t="shared" si="19"/>
        <v>5.7</v>
      </c>
      <c r="CS32" s="516">
        <f t="shared" si="26"/>
        <v>39.200000000000003</v>
      </c>
      <c r="CT32" s="313"/>
      <c r="CU32" s="313"/>
      <c r="CV32" s="313"/>
      <c r="CW32" s="313"/>
      <c r="CX32" s="313"/>
      <c r="CY32" s="313"/>
      <c r="CZ32" s="313"/>
      <c r="DA32" s="313"/>
      <c r="DB32" s="313"/>
      <c r="DC32" s="313"/>
    </row>
    <row r="33" spans="1:107" s="2" customFormat="1" ht="28.5">
      <c r="A33" s="1565"/>
      <c r="B33" s="1566"/>
      <c r="C33" s="23">
        <v>15</v>
      </c>
      <c r="D33" s="329" t="s">
        <v>1257</v>
      </c>
      <c r="E33" s="492" t="s">
        <v>1215</v>
      </c>
      <c r="F33" s="328" t="s">
        <v>1250</v>
      </c>
      <c r="G33" s="336" t="s">
        <v>489</v>
      </c>
      <c r="H33" s="334" t="s">
        <v>285</v>
      </c>
      <c r="I33" s="1562"/>
      <c r="J33" s="660">
        <f t="shared" si="33"/>
        <v>0</v>
      </c>
      <c r="K33" s="664">
        <v>0</v>
      </c>
      <c r="L33" s="660">
        <f t="shared" si="34"/>
        <v>0</v>
      </c>
      <c r="M33" s="511"/>
      <c r="N33" s="512">
        <f t="shared" si="22"/>
        <v>0</v>
      </c>
      <c r="O33" s="510">
        <f t="shared" si="2"/>
        <v>0</v>
      </c>
      <c r="P33" s="510">
        <f t="shared" si="23"/>
        <v>0</v>
      </c>
      <c r="Q33" s="833">
        <f t="shared" si="24"/>
        <v>0</v>
      </c>
      <c r="R33" s="832">
        <f t="shared" si="25"/>
        <v>0</v>
      </c>
      <c r="S33" s="520"/>
      <c r="T33" s="330">
        <v>0</v>
      </c>
      <c r="U33" s="1541"/>
      <c r="V33" s="330">
        <v>0</v>
      </c>
      <c r="W33" s="1541"/>
      <c r="X33" s="323">
        <f t="shared" si="3"/>
        <v>0</v>
      </c>
      <c r="Y33" s="520"/>
      <c r="Z33" s="330">
        <v>0</v>
      </c>
      <c r="AA33" s="1541"/>
      <c r="AB33" s="330">
        <v>0</v>
      </c>
      <c r="AC33" s="1541"/>
      <c r="AD33" s="323">
        <f t="shared" si="4"/>
        <v>0</v>
      </c>
      <c r="AE33" s="520"/>
      <c r="AF33" s="330">
        <v>0</v>
      </c>
      <c r="AG33" s="1541"/>
      <c r="AH33" s="330">
        <v>0</v>
      </c>
      <c r="AI33" s="1541"/>
      <c r="AJ33" s="323">
        <f t="shared" si="5"/>
        <v>0</v>
      </c>
      <c r="AK33" s="520"/>
      <c r="AL33" s="338">
        <v>0</v>
      </c>
      <c r="AM33" s="1541"/>
      <c r="AN33" s="338">
        <v>0</v>
      </c>
      <c r="AO33" s="1541"/>
      <c r="AP33" s="323">
        <f t="shared" si="6"/>
        <v>0</v>
      </c>
      <c r="AQ33" s="520"/>
      <c r="AR33" s="338">
        <v>0</v>
      </c>
      <c r="AS33" s="1541"/>
      <c r="AT33" s="338">
        <v>0</v>
      </c>
      <c r="AU33" s="1541"/>
      <c r="AV33" s="323">
        <f t="shared" si="7"/>
        <v>0</v>
      </c>
      <c r="AW33" s="520"/>
      <c r="AX33" s="330">
        <v>0</v>
      </c>
      <c r="AY33" s="1541"/>
      <c r="AZ33" s="330">
        <v>0</v>
      </c>
      <c r="BA33" s="1541"/>
      <c r="BB33" s="323">
        <f t="shared" si="8"/>
        <v>0</v>
      </c>
      <c r="BC33" s="520"/>
      <c r="BD33" s="330">
        <v>0</v>
      </c>
      <c r="BE33" s="1541"/>
      <c r="BF33" s="330">
        <v>0</v>
      </c>
      <c r="BG33" s="1541"/>
      <c r="BH33" s="323">
        <f t="shared" si="9"/>
        <v>0</v>
      </c>
      <c r="BI33" s="520"/>
      <c r="BJ33" s="330">
        <v>0</v>
      </c>
      <c r="BK33" s="1541"/>
      <c r="BL33" s="330">
        <v>0</v>
      </c>
      <c r="BM33" s="1541"/>
      <c r="BN33" s="323">
        <f t="shared" si="10"/>
        <v>0</v>
      </c>
      <c r="BO33" s="520"/>
      <c r="BP33" s="330">
        <v>0</v>
      </c>
      <c r="BQ33" s="1541"/>
      <c r="BR33" s="330">
        <v>0</v>
      </c>
      <c r="BS33" s="1541"/>
      <c r="BT33" s="323">
        <f t="shared" si="11"/>
        <v>0</v>
      </c>
      <c r="BU33" s="520"/>
      <c r="BV33" s="338">
        <v>0</v>
      </c>
      <c r="BW33" s="1541"/>
      <c r="BX33" s="338">
        <v>0</v>
      </c>
      <c r="BY33" s="1541"/>
      <c r="BZ33" s="323">
        <f t="shared" si="12"/>
        <v>0</v>
      </c>
      <c r="CA33" s="315"/>
      <c r="CD33" s="516" t="s">
        <v>1639</v>
      </c>
      <c r="CE33" s="531">
        <v>0</v>
      </c>
      <c r="CF33" s="532">
        <f t="shared" si="27"/>
        <v>0</v>
      </c>
      <c r="CG33" s="531">
        <v>1</v>
      </c>
      <c r="CH33" s="532">
        <f t="shared" si="35"/>
        <v>0</v>
      </c>
      <c r="CI33" s="531">
        <v>1</v>
      </c>
      <c r="CJ33" s="532">
        <f t="shared" si="36"/>
        <v>0</v>
      </c>
      <c r="CK33" s="531">
        <v>1</v>
      </c>
      <c r="CL33" s="532">
        <f t="shared" si="37"/>
        <v>0</v>
      </c>
      <c r="CM33" s="531">
        <v>1</v>
      </c>
      <c r="CN33" s="532">
        <f t="shared" si="38"/>
        <v>0</v>
      </c>
      <c r="CO33" s="531">
        <v>1</v>
      </c>
      <c r="CP33" s="532">
        <f t="shared" si="39"/>
        <v>0</v>
      </c>
      <c r="CQ33" s="531">
        <v>0</v>
      </c>
      <c r="CR33" s="532">
        <f t="shared" si="19"/>
        <v>0</v>
      </c>
      <c r="CS33" s="516">
        <f t="shared" si="26"/>
        <v>5</v>
      </c>
      <c r="CT33" s="313"/>
      <c r="CU33" s="313"/>
      <c r="CV33" s="313"/>
      <c r="CW33" s="313"/>
      <c r="CX33" s="313"/>
      <c r="CY33" s="313"/>
      <c r="CZ33" s="313"/>
      <c r="DA33" s="313"/>
      <c r="DB33" s="313"/>
      <c r="DC33" s="313"/>
    </row>
    <row r="34" spans="1:107" s="77" customFormat="1">
      <c r="A34" s="337" t="s">
        <v>1258</v>
      </c>
      <c r="B34" s="337" t="s">
        <v>1259</v>
      </c>
      <c r="C34" s="23">
        <v>16</v>
      </c>
      <c r="D34" s="521" t="s">
        <v>1784</v>
      </c>
      <c r="E34" s="492" t="s">
        <v>1241</v>
      </c>
      <c r="F34" s="499"/>
      <c r="G34" s="499" t="s">
        <v>486</v>
      </c>
      <c r="H34" s="334" t="s">
        <v>285</v>
      </c>
      <c r="I34" s="497">
        <v>1</v>
      </c>
      <c r="J34" s="659" t="s">
        <v>1260</v>
      </c>
      <c r="K34" s="664">
        <f>AVERAGE(BW34,BQ34,BK34,BE34,AY34,AS34,AM34,AG34,AA34,U34)</f>
        <v>1</v>
      </c>
      <c r="L34" s="659" t="s">
        <v>1260</v>
      </c>
      <c r="M34" s="511">
        <f>AVERAGE(BY34,BS34,BM34,BG34,BA34,AU34,AO34,AI34,AC34,W34)</f>
        <v>1</v>
      </c>
      <c r="N34" s="512">
        <f t="shared" si="22"/>
        <v>0</v>
      </c>
      <c r="O34" s="510">
        <f t="shared" si="2"/>
        <v>0</v>
      </c>
      <c r="P34" s="510">
        <f t="shared" si="23"/>
        <v>0</v>
      </c>
      <c r="Q34" s="833">
        <f t="shared" si="24"/>
        <v>0</v>
      </c>
      <c r="R34" s="832">
        <f t="shared" si="25"/>
        <v>0</v>
      </c>
      <c r="S34" s="520" t="s">
        <v>1261</v>
      </c>
      <c r="T34" s="330" t="s">
        <v>1260</v>
      </c>
      <c r="U34" s="623">
        <f>IF(LEFT(T34,1)="1",1,0)</f>
        <v>1</v>
      </c>
      <c r="V34" s="330" t="s">
        <v>1260</v>
      </c>
      <c r="W34" s="623">
        <f>IF(LEFT(V34,1)="1",1,0)</f>
        <v>1</v>
      </c>
      <c r="X34" s="323">
        <f>IF((V34=T34)=TRUE,0,1)</f>
        <v>0</v>
      </c>
      <c r="Y34" s="520"/>
      <c r="Z34" s="330" t="s">
        <v>1260</v>
      </c>
      <c r="AA34" s="623">
        <f>IF(LEFT(Z34,1)="1",1,0)</f>
        <v>1</v>
      </c>
      <c r="AB34" s="330" t="s">
        <v>1260</v>
      </c>
      <c r="AC34" s="623">
        <f>IF(LEFT(AB34,1)="1",1,0)</f>
        <v>1</v>
      </c>
      <c r="AD34" s="323">
        <f>IF((AB34=Z34)=TRUE,0,1)</f>
        <v>0</v>
      </c>
      <c r="AE34" s="520"/>
      <c r="AF34" s="330" t="s">
        <v>1260</v>
      </c>
      <c r="AG34" s="623">
        <f>IF(LEFT(AF34,1)="1",1,0)</f>
        <v>1</v>
      </c>
      <c r="AH34" s="330" t="s">
        <v>1260</v>
      </c>
      <c r="AI34" s="623">
        <f>IF(LEFT(AH34,1)="1",1,0)</f>
        <v>1</v>
      </c>
      <c r="AJ34" s="323">
        <f>IF((AH34=AF34)=TRUE,0,1)</f>
        <v>0</v>
      </c>
      <c r="AK34" s="520"/>
      <c r="AL34" s="338" t="s">
        <v>1260</v>
      </c>
      <c r="AM34" s="623">
        <f>IF(LEFT(AL34,1)="1",1,0)</f>
        <v>1</v>
      </c>
      <c r="AN34" s="338" t="s">
        <v>1260</v>
      </c>
      <c r="AO34" s="623">
        <f>IF(LEFT(AN34,1)="1",1,0)</f>
        <v>1</v>
      </c>
      <c r="AP34" s="323">
        <f>IF((AN34=AL34)=TRUE,0,1)</f>
        <v>0</v>
      </c>
      <c r="AQ34" s="520"/>
      <c r="AR34" s="338" t="s">
        <v>1260</v>
      </c>
      <c r="AS34" s="623">
        <f>IF(LEFT(AR34,1)="1",1,0)</f>
        <v>1</v>
      </c>
      <c r="AT34" s="338" t="s">
        <v>1260</v>
      </c>
      <c r="AU34" s="623">
        <f>IF(LEFT(AT34,1)="1",1,0)</f>
        <v>1</v>
      </c>
      <c r="AV34" s="323">
        <f>IF((AT34=AR34)=TRUE,0,1)</f>
        <v>0</v>
      </c>
      <c r="AW34" s="520"/>
      <c r="AX34" s="330" t="s">
        <v>1260</v>
      </c>
      <c r="AY34" s="623">
        <f>IF(LEFT(AX34,1)="1",1,0)</f>
        <v>1</v>
      </c>
      <c r="AZ34" s="330" t="s">
        <v>1260</v>
      </c>
      <c r="BA34" s="623">
        <f>IF(LEFT(AZ34,1)="1",1,0)</f>
        <v>1</v>
      </c>
      <c r="BB34" s="323">
        <f>IF((AZ34=AX34)=TRUE,0,1)</f>
        <v>0</v>
      </c>
      <c r="BC34" s="520"/>
      <c r="BD34" s="330" t="s">
        <v>1260</v>
      </c>
      <c r="BE34" s="623">
        <f>IF(LEFT(BD34,1)="1",1,0)</f>
        <v>1</v>
      </c>
      <c r="BF34" s="330" t="s">
        <v>1260</v>
      </c>
      <c r="BG34" s="623">
        <f>IF(LEFT(BF34,1)="1",1,0)</f>
        <v>1</v>
      </c>
      <c r="BH34" s="323">
        <f>IF((BF34=BD34)=TRUE,0,1)</f>
        <v>0</v>
      </c>
      <c r="BI34" s="520"/>
      <c r="BJ34" s="330" t="s">
        <v>1260</v>
      </c>
      <c r="BK34" s="623">
        <f>IF(LEFT(BJ34,1)="1",1,0)</f>
        <v>1</v>
      </c>
      <c r="BL34" s="330" t="s">
        <v>1260</v>
      </c>
      <c r="BM34" s="623">
        <f>IF(LEFT(BL34,1)="1",1,0)</f>
        <v>1</v>
      </c>
      <c r="BN34" s="323">
        <f>IF((BL34=BJ34)=TRUE,0,1)</f>
        <v>0</v>
      </c>
      <c r="BO34" s="520"/>
      <c r="BP34" s="330" t="s">
        <v>1260</v>
      </c>
      <c r="BQ34" s="623">
        <f>IF(LEFT(BP34,1)="1",1,0)</f>
        <v>1</v>
      </c>
      <c r="BR34" s="330" t="s">
        <v>1260</v>
      </c>
      <c r="BS34" s="623">
        <f>IF(LEFT(BR34,1)="1",1,0)</f>
        <v>1</v>
      </c>
      <c r="BT34" s="323">
        <f>IF((BR34=BP34)=TRUE,0,1)</f>
        <v>0</v>
      </c>
      <c r="BU34" s="520"/>
      <c r="BV34" s="338" t="s">
        <v>1260</v>
      </c>
      <c r="BW34" s="623">
        <f>IF(LEFT(BV34,1)="1",1,0)</f>
        <v>1</v>
      </c>
      <c r="BX34" s="338" t="s">
        <v>1260</v>
      </c>
      <c r="BY34" s="623">
        <f>IF(LEFT(BX34,1)="1",1,0)</f>
        <v>1</v>
      </c>
      <c r="BZ34" s="323">
        <f>IF((BX34=BV34)=TRUE,0,1)</f>
        <v>0</v>
      </c>
      <c r="CA34" s="315"/>
      <c r="CD34" s="516"/>
      <c r="CE34" s="531">
        <v>1</v>
      </c>
      <c r="CF34" s="532">
        <f t="shared" si="27"/>
        <v>1</v>
      </c>
      <c r="CG34" s="531">
        <v>0</v>
      </c>
      <c r="CH34" s="532">
        <f t="shared" si="35"/>
        <v>1</v>
      </c>
      <c r="CI34" s="531">
        <v>0</v>
      </c>
      <c r="CJ34" s="532">
        <f t="shared" si="36"/>
        <v>1</v>
      </c>
      <c r="CK34" s="531">
        <v>0</v>
      </c>
      <c r="CL34" s="532">
        <f t="shared" si="37"/>
        <v>1</v>
      </c>
      <c r="CM34" s="531">
        <v>0</v>
      </c>
      <c r="CN34" s="532">
        <f t="shared" si="38"/>
        <v>1</v>
      </c>
      <c r="CO34" s="531">
        <v>0</v>
      </c>
      <c r="CP34" s="532">
        <f t="shared" si="39"/>
        <v>1</v>
      </c>
      <c r="CQ34" s="531">
        <v>0</v>
      </c>
      <c r="CR34" s="532">
        <f t="shared" si="19"/>
        <v>1</v>
      </c>
      <c r="CS34" s="516">
        <f t="shared" si="26"/>
        <v>7</v>
      </c>
      <c r="CT34" s="313"/>
      <c r="CU34" s="313"/>
      <c r="CV34" s="313"/>
      <c r="CW34" s="313"/>
      <c r="CX34" s="313"/>
      <c r="CY34" s="313"/>
      <c r="CZ34" s="313"/>
      <c r="DA34" s="313"/>
      <c r="DB34" s="313"/>
      <c r="DC34" s="313"/>
    </row>
    <row r="35" spans="1:107" s="2" customFormat="1">
      <c r="A35" s="1567" t="s">
        <v>1263</v>
      </c>
      <c r="B35" s="1569" t="s">
        <v>1789</v>
      </c>
      <c r="C35" s="23">
        <v>17</v>
      </c>
      <c r="D35" s="329" t="s">
        <v>1262</v>
      </c>
      <c r="E35" s="491"/>
      <c r="F35" s="384"/>
      <c r="G35" s="384" t="s">
        <v>484</v>
      </c>
      <c r="H35" s="330" t="s">
        <v>285</v>
      </c>
      <c r="I35" s="383">
        <v>2</v>
      </c>
      <c r="J35" s="657">
        <f t="shared" ref="J35:J65" si="40">AVERAGE(BV35,BP35,BJ35,BD35,AX35,AR35,AL35,AF35,Z35,T35)</f>
        <v>0.97014789761134901</v>
      </c>
      <c r="K35" s="664">
        <f>AVERAGE(BW35,BQ35,BK35,BE35,AY35,AS35,AM35,AG35,AA35,U35)</f>
        <v>2</v>
      </c>
      <c r="L35" s="657">
        <f t="shared" ref="L35:L65" si="41">AVERAGE(BX35,BR35,BL35,BF35,AZ35,AT35,AN35,AH35,AB35,V35)</f>
        <v>0.97441147734940059</v>
      </c>
      <c r="M35" s="511">
        <f>AVERAGE(BY35,BS35,BM35,BG35,BA35,AU35,AO35,AI35,AC35,W35)</f>
        <v>2</v>
      </c>
      <c r="N35" s="512">
        <f t="shared" si="22"/>
        <v>0</v>
      </c>
      <c r="O35" s="510">
        <f t="shared" si="2"/>
        <v>0</v>
      </c>
      <c r="P35" s="510">
        <f t="shared" si="23"/>
        <v>0</v>
      </c>
      <c r="Q35" s="833">
        <f t="shared" si="24"/>
        <v>0</v>
      </c>
      <c r="R35" s="832">
        <f t="shared" si="25"/>
        <v>0</v>
      </c>
      <c r="S35" s="520"/>
      <c r="T35" s="653">
        <f>IF(T37=0,"",T36/T37)</f>
        <v>0.95807453416149069</v>
      </c>
      <c r="U35" s="332">
        <f>IF(T35&gt;0.9,2,IF(T35&gt;0.8,1,IF(T35&gt;0.7,0.5,0)))</f>
        <v>2</v>
      </c>
      <c r="V35" s="653">
        <f>IF(V37=0,"",V36/V37)</f>
        <v>0.96267696267696268</v>
      </c>
      <c r="W35" s="332">
        <f>IF(V35&gt;0.9,2,IF(V35&gt;0.8,1,IF(V35&gt;0.7,0.5,0)))</f>
        <v>2</v>
      </c>
      <c r="X35" s="323">
        <f t="shared" si="3"/>
        <v>4.8038313840583768E-3</v>
      </c>
      <c r="Y35" s="520"/>
      <c r="Z35" s="653">
        <f>IF(Z37=0,"",Z36/Z37)</f>
        <v>0.96283012716009131</v>
      </c>
      <c r="AA35" s="332">
        <f>IF(Z35&gt;0.9,2,IF(Z35&gt;0.8,1,IF(Z35&gt;0.7,0.5,0)))</f>
        <v>2</v>
      </c>
      <c r="AB35" s="653">
        <f>IF(AB37=0,"",AB36/AB37)</f>
        <v>0.97476340694006314</v>
      </c>
      <c r="AC35" s="332">
        <f>IF(AB35&gt;0.9,2,IF(AB35&gt;0.8,1,IF(AB35&gt;0.7,0.5,0)))</f>
        <v>2</v>
      </c>
      <c r="AD35" s="323">
        <f t="shared" si="4"/>
        <v>1.2393961762673156E-2</v>
      </c>
      <c r="AE35" s="520"/>
      <c r="AF35" s="653">
        <f>IF(AF37=0,"",AF36/AF37)</f>
        <v>0.9867951463240543</v>
      </c>
      <c r="AG35" s="332">
        <f>IF(AF35&gt;0.9,2,IF(AF35&gt;0.8,1,IF(AF35&gt;0.7,0.5,0)))</f>
        <v>2</v>
      </c>
      <c r="AH35" s="653">
        <f>IF(AH37=0,"",AH36/AH37)</f>
        <v>0.98141263940520451</v>
      </c>
      <c r="AI35" s="332">
        <f>IF(AH35&gt;0.9,2,IF(AH35&gt;0.8,1,IF(AH35&gt;0.7,0.5,0)))</f>
        <v>2</v>
      </c>
      <c r="AJ35" s="323">
        <f t="shared" si="5"/>
        <v>-5.4545332320495854E-3</v>
      </c>
      <c r="AK35" s="520"/>
      <c r="AL35" s="653">
        <f>IF(AL37=0,"",AL36/AL37)</f>
        <v>0.96988906497622818</v>
      </c>
      <c r="AM35" s="332">
        <f>IF(AL35&gt;0.9,2,IF(AL35&gt;0.8,1,IF(AL35&gt;0.7,0.5,0)))</f>
        <v>2</v>
      </c>
      <c r="AN35" s="653">
        <f>IF(AN37=0,"",AN36/AN37)</f>
        <v>0.9563758389261745</v>
      </c>
      <c r="AO35" s="332">
        <f>IF(AN35&gt;0.9,2,IF(AN35&gt;0.8,1,IF(AN35&gt;0.7,0.5,0)))</f>
        <v>2</v>
      </c>
      <c r="AP35" s="323">
        <f t="shared" si="6"/>
        <v>-1.3932754309777584E-2</v>
      </c>
      <c r="AQ35" s="520"/>
      <c r="AR35" s="653">
        <f>IF(AR37=0,"",AR36/AR37)</f>
        <v>0.9638378536016331</v>
      </c>
      <c r="AS35" s="332">
        <f>IF(AR35&gt;0.9,2,IF(AR35&gt;0.8,1,IF(AR35&gt;0.7,0.5,0)))</f>
        <v>2</v>
      </c>
      <c r="AT35" s="653">
        <f>IF(AT37=0,"",AT36/AT37)</f>
        <v>0.96902079722703638</v>
      </c>
      <c r="AU35" s="332">
        <f>IF(AT35&gt;0.9,2,IF(AT35&gt;0.8,1,IF(AT35&gt;0.7,0.5,0)))</f>
        <v>2</v>
      </c>
      <c r="AV35" s="323">
        <f t="shared" si="7"/>
        <v>5.3774020246619703E-3</v>
      </c>
      <c r="AW35" s="520"/>
      <c r="AX35" s="653">
        <f>IF(AX37=0,"",AX36/AX37)</f>
        <v>0.97831978319783197</v>
      </c>
      <c r="AY35" s="332">
        <f>IF(AX35&gt;0.9,2,IF(AX35&gt;0.8,1,IF(AX35&gt;0.7,0.5,0)))</f>
        <v>2</v>
      </c>
      <c r="AZ35" s="653">
        <f>IF(AZ37=0,"",AZ36/AZ37)</f>
        <v>0.98240469208211145</v>
      </c>
      <c r="BA35" s="332">
        <f>IF(AZ35&gt;0.9,2,IF(AZ35&gt;0.8,1,IF(AZ35&gt;0.7,0.5,0)))</f>
        <v>2</v>
      </c>
      <c r="BB35" s="323">
        <f t="shared" si="8"/>
        <v>4.1754331808840917E-3</v>
      </c>
      <c r="BC35" s="520"/>
      <c r="BD35" s="653">
        <f>IF(BD37=0,"",BD36/BD37)</f>
        <v>0.97754293262879788</v>
      </c>
      <c r="BE35" s="332">
        <f>IF(BD35&gt;0.9,2,IF(BD35&gt;0.8,1,IF(BD35&gt;0.7,0.5,0)))</f>
        <v>2</v>
      </c>
      <c r="BF35" s="653">
        <f>IF(BF37=0,"",BF36/BF37)</f>
        <v>0.97928653624856155</v>
      </c>
      <c r="BG35" s="332">
        <f>IF(BF35&gt;0.9,2,IF(BF35&gt;0.8,1,IF(BF35&gt;0.7,0.5,0)))</f>
        <v>2</v>
      </c>
      <c r="BH35" s="323">
        <f t="shared" si="9"/>
        <v>1.7836593785960364E-3</v>
      </c>
      <c r="BI35" s="520"/>
      <c r="BJ35" s="653">
        <f>IF(BJ37=0,"",BJ36/BJ37)</f>
        <v>0.98853868194842409</v>
      </c>
      <c r="BK35" s="332">
        <f>IF(BJ35&gt;0.9,2,IF(BJ35&gt;0.8,1,IF(BJ35&gt;0.7,0.5,0)))</f>
        <v>2</v>
      </c>
      <c r="BL35" s="653">
        <f>IF(BL37=0,"",BL36/BL37)</f>
        <v>0.98495125052988552</v>
      </c>
      <c r="BM35" s="332">
        <f>IF(BL35&gt;0.9,2,IF(BL35&gt;0.8,1,IF(BL35&gt;0.7,0.5,0)))</f>
        <v>2</v>
      </c>
      <c r="BN35" s="323">
        <f t="shared" si="10"/>
        <v>-3.629024826289684E-3</v>
      </c>
      <c r="BO35" s="520"/>
      <c r="BP35" s="653">
        <f>IF(BP37=0,"",BP36/BP37)</f>
        <v>0.94475138121546964</v>
      </c>
      <c r="BQ35" s="332">
        <f>IF(BP35&gt;0.9,2,IF(BP35&gt;0.8,1,IF(BP35&gt;0.7,0.5,0)))</f>
        <v>2</v>
      </c>
      <c r="BR35" s="653">
        <f>IF(BR37=0,"",BR36/BR37)</f>
        <v>0.98113207547169812</v>
      </c>
      <c r="BS35" s="332">
        <f>IF(BR35&gt;0.9,2,IF(BR35&gt;0.8,1,IF(BR35&gt;0.7,0.5,0)))</f>
        <v>2</v>
      </c>
      <c r="BT35" s="323">
        <f t="shared" si="11"/>
        <v>3.8508220236124879E-2</v>
      </c>
      <c r="BU35" s="520"/>
      <c r="BV35" s="653">
        <f>IF(BV37=0,"",BV36/BV37)</f>
        <v>0.97089947089947093</v>
      </c>
      <c r="BW35" s="332">
        <f>IF(BV35&gt;0.9,2,IF(BV35&gt;0.8,1,IF(BV35&gt;0.7,0.5,0)))</f>
        <v>2</v>
      </c>
      <c r="BX35" s="653">
        <f>IF(BX37=0,"",BX36/BX37)</f>
        <v>0.9720905739863086</v>
      </c>
      <c r="BY35" s="332">
        <f>IF(BX35&gt;0.9,2,IF(BX35&gt;0.8,1,IF(BX35&gt;0.7,0.5,0)))</f>
        <v>2</v>
      </c>
      <c r="BZ35" s="323">
        <f t="shared" si="12"/>
        <v>1.2268037243177154E-3</v>
      </c>
      <c r="CA35" s="315"/>
      <c r="CD35" s="516" t="s">
        <v>1640</v>
      </c>
      <c r="CE35" s="531">
        <v>1</v>
      </c>
      <c r="CF35" s="532">
        <f t="shared" si="27"/>
        <v>2</v>
      </c>
      <c r="CG35" s="531">
        <v>1</v>
      </c>
      <c r="CH35" s="533">
        <v>2</v>
      </c>
      <c r="CI35" s="531">
        <v>0</v>
      </c>
      <c r="CJ35" s="533">
        <v>1.8333333333333333</v>
      </c>
      <c r="CK35" s="531">
        <v>1</v>
      </c>
      <c r="CL35" s="533">
        <v>2</v>
      </c>
      <c r="CM35" s="531">
        <v>1</v>
      </c>
      <c r="CN35" s="533">
        <v>2</v>
      </c>
      <c r="CO35" s="531">
        <v>1</v>
      </c>
      <c r="CP35" s="533">
        <v>2</v>
      </c>
      <c r="CQ35" s="531">
        <v>0</v>
      </c>
      <c r="CR35" s="532">
        <f t="shared" si="19"/>
        <v>2</v>
      </c>
      <c r="CS35" s="516">
        <f t="shared" si="26"/>
        <v>16.833333333333332</v>
      </c>
      <c r="CT35" s="313"/>
      <c r="CU35" s="313"/>
      <c r="CV35" s="313"/>
      <c r="CW35" s="313"/>
      <c r="CX35" s="313"/>
      <c r="CY35" s="313"/>
      <c r="CZ35" s="313"/>
      <c r="DA35" s="313"/>
      <c r="DB35" s="313"/>
      <c r="DC35" s="313"/>
    </row>
    <row r="36" spans="1:107" s="2" customFormat="1" ht="28.5">
      <c r="A36" s="1568"/>
      <c r="B36" s="1569"/>
      <c r="C36" s="385">
        <v>17.100000000000001</v>
      </c>
      <c r="D36" s="325" t="s">
        <v>1264</v>
      </c>
      <c r="E36" s="492" t="s">
        <v>1241</v>
      </c>
      <c r="F36" s="328" t="s">
        <v>1265</v>
      </c>
      <c r="G36" s="327"/>
      <c r="H36" s="326"/>
      <c r="I36" s="384"/>
      <c r="J36" s="658">
        <f t="shared" si="40"/>
        <v>2278.9</v>
      </c>
      <c r="K36" s="664"/>
      <c r="L36" s="658">
        <f t="shared" si="41"/>
        <v>3017.5</v>
      </c>
      <c r="M36" s="511"/>
      <c r="N36" s="512">
        <f t="shared" si="22"/>
        <v>0</v>
      </c>
      <c r="O36" s="510">
        <f t="shared" ref="O36:O68" si="42">I36-M36</f>
        <v>0</v>
      </c>
      <c r="P36" s="510">
        <f t="shared" si="23"/>
        <v>0</v>
      </c>
      <c r="Q36" s="833">
        <f t="shared" si="24"/>
        <v>0</v>
      </c>
      <c r="R36" s="832">
        <f t="shared" si="25"/>
        <v>0</v>
      </c>
      <c r="S36" s="520"/>
      <c r="T36" s="330">
        <v>617</v>
      </c>
      <c r="U36" s="623"/>
      <c r="V36" s="330">
        <v>748</v>
      </c>
      <c r="W36" s="623"/>
      <c r="X36" s="323">
        <f t="shared" si="3"/>
        <v>0.21231766612641811</v>
      </c>
      <c r="Y36" s="520"/>
      <c r="Z36" s="330">
        <v>2953</v>
      </c>
      <c r="AA36" s="623"/>
      <c r="AB36" s="330">
        <v>3399</v>
      </c>
      <c r="AC36" s="623"/>
      <c r="AD36" s="323">
        <f t="shared" si="4"/>
        <v>0.15103284795123595</v>
      </c>
      <c r="AE36" s="520"/>
      <c r="AF36" s="638">
        <v>5530</v>
      </c>
      <c r="AG36" s="623"/>
      <c r="AH36" s="638">
        <v>6336</v>
      </c>
      <c r="AI36" s="623"/>
      <c r="AJ36" s="323">
        <f t="shared" si="5"/>
        <v>0.14575045207956605</v>
      </c>
      <c r="AK36" s="520"/>
      <c r="AL36" s="638">
        <v>612</v>
      </c>
      <c r="AM36" s="623"/>
      <c r="AN36" s="638">
        <v>1140</v>
      </c>
      <c r="AO36" s="623"/>
      <c r="AP36" s="323">
        <f t="shared" si="6"/>
        <v>0.86274509803921573</v>
      </c>
      <c r="AQ36" s="520"/>
      <c r="AR36" s="638">
        <v>3305</v>
      </c>
      <c r="AS36" s="623"/>
      <c r="AT36" s="638">
        <v>4473</v>
      </c>
      <c r="AU36" s="623"/>
      <c r="AV36" s="323">
        <f t="shared" si="7"/>
        <v>0.35340393343419052</v>
      </c>
      <c r="AW36" s="520"/>
      <c r="AX36" s="638">
        <v>3971</v>
      </c>
      <c r="AY36" s="623"/>
      <c r="AZ36" s="638">
        <v>5695</v>
      </c>
      <c r="BA36" s="623"/>
      <c r="BB36" s="323">
        <f t="shared" si="8"/>
        <v>0.43414756988164194</v>
      </c>
      <c r="BC36" s="520"/>
      <c r="BD36" s="638">
        <v>740</v>
      </c>
      <c r="BE36" s="623"/>
      <c r="BF36" s="638">
        <v>851</v>
      </c>
      <c r="BG36" s="623"/>
      <c r="BH36" s="323">
        <f t="shared" si="9"/>
        <v>0.14999999999999991</v>
      </c>
      <c r="BI36" s="520"/>
      <c r="BJ36" s="638">
        <v>3105</v>
      </c>
      <c r="BK36" s="623"/>
      <c r="BL36" s="638">
        <v>4647</v>
      </c>
      <c r="BM36" s="623"/>
      <c r="BN36" s="323">
        <f t="shared" si="10"/>
        <v>0.4966183574879226</v>
      </c>
      <c r="BO36" s="520"/>
      <c r="BP36" s="638">
        <v>855</v>
      </c>
      <c r="BQ36" s="623"/>
      <c r="BR36" s="638">
        <v>1040</v>
      </c>
      <c r="BS36" s="623"/>
      <c r="BT36" s="323">
        <f t="shared" si="11"/>
        <v>0.21637426900584789</v>
      </c>
      <c r="BU36" s="520"/>
      <c r="BV36" s="638">
        <v>1101</v>
      </c>
      <c r="BW36" s="623"/>
      <c r="BX36" s="638">
        <v>1846</v>
      </c>
      <c r="BY36" s="623"/>
      <c r="BZ36" s="323">
        <f t="shared" si="12"/>
        <v>0.67665758401453235</v>
      </c>
      <c r="CA36" s="315"/>
      <c r="CD36" s="516"/>
      <c r="CE36" s="531">
        <v>0</v>
      </c>
      <c r="CF36" s="532">
        <f t="shared" si="27"/>
        <v>0</v>
      </c>
      <c r="CG36" s="531">
        <v>0</v>
      </c>
      <c r="CH36" s="532">
        <f>$M36</f>
        <v>0</v>
      </c>
      <c r="CI36" s="531">
        <v>0</v>
      </c>
      <c r="CJ36" s="532">
        <f>$M36</f>
        <v>0</v>
      </c>
      <c r="CK36" s="531">
        <v>0</v>
      </c>
      <c r="CL36" s="532">
        <f>$M36</f>
        <v>0</v>
      </c>
      <c r="CM36" s="531">
        <v>0</v>
      </c>
      <c r="CN36" s="532">
        <f>$M36</f>
        <v>0</v>
      </c>
      <c r="CO36" s="531">
        <v>0</v>
      </c>
      <c r="CP36" s="532">
        <f>$M36</f>
        <v>0</v>
      </c>
      <c r="CQ36" s="531">
        <v>0</v>
      </c>
      <c r="CR36" s="532">
        <f t="shared" ref="CR36:CR72" si="43">$M36</f>
        <v>0</v>
      </c>
      <c r="CS36" s="516">
        <f t="shared" si="26"/>
        <v>0</v>
      </c>
      <c r="CT36" s="313"/>
      <c r="CU36" s="313"/>
      <c r="CV36" s="313"/>
      <c r="CW36" s="313"/>
      <c r="CX36" s="313"/>
      <c r="CY36" s="313"/>
      <c r="CZ36" s="313"/>
      <c r="DA36" s="313"/>
      <c r="DB36" s="313"/>
      <c r="DC36" s="313"/>
    </row>
    <row r="37" spans="1:107" s="2" customFormat="1" ht="15" customHeight="1">
      <c r="A37" s="1568"/>
      <c r="B37" s="1569"/>
      <c r="C37" s="638">
        <v>17.2</v>
      </c>
      <c r="D37" s="325" t="s">
        <v>1266</v>
      </c>
      <c r="E37" s="492" t="s">
        <v>1241</v>
      </c>
      <c r="F37" s="498" t="s">
        <v>1265</v>
      </c>
      <c r="G37" s="625"/>
      <c r="H37" s="334"/>
      <c r="I37" s="623"/>
      <c r="J37" s="658">
        <f t="shared" si="40"/>
        <v>2337.1</v>
      </c>
      <c r="K37" s="664"/>
      <c r="L37" s="658">
        <f t="shared" si="41"/>
        <v>3087.1</v>
      </c>
      <c r="M37" s="511"/>
      <c r="N37" s="512">
        <f t="shared" si="22"/>
        <v>0</v>
      </c>
      <c r="O37" s="510">
        <f t="shared" si="42"/>
        <v>0</v>
      </c>
      <c r="P37" s="510">
        <f t="shared" si="23"/>
        <v>0</v>
      </c>
      <c r="Q37" s="833">
        <f t="shared" si="24"/>
        <v>0</v>
      </c>
      <c r="R37" s="832">
        <f t="shared" si="25"/>
        <v>0</v>
      </c>
      <c r="S37" s="520"/>
      <c r="T37" s="330">
        <v>644</v>
      </c>
      <c r="U37" s="623"/>
      <c r="V37" s="330">
        <v>777</v>
      </c>
      <c r="W37" s="623"/>
      <c r="X37" s="323">
        <f t="shared" si="3"/>
        <v>0.20652173913043481</v>
      </c>
      <c r="Y37" s="520"/>
      <c r="Z37" s="330">
        <v>3067</v>
      </c>
      <c r="AA37" s="623"/>
      <c r="AB37" s="330">
        <v>3487</v>
      </c>
      <c r="AC37" s="623"/>
      <c r="AD37" s="323">
        <f t="shared" si="4"/>
        <v>0.13694163677861093</v>
      </c>
      <c r="AE37" s="520"/>
      <c r="AF37" s="638">
        <v>5604</v>
      </c>
      <c r="AG37" s="623"/>
      <c r="AH37" s="638">
        <v>6456</v>
      </c>
      <c r="AI37" s="623"/>
      <c r="AJ37" s="323">
        <f t="shared" si="5"/>
        <v>0.15203426124197006</v>
      </c>
      <c r="AK37" s="520"/>
      <c r="AL37" s="638">
        <v>631</v>
      </c>
      <c r="AM37" s="623"/>
      <c r="AN37" s="638">
        <v>1192</v>
      </c>
      <c r="AO37" s="623"/>
      <c r="AP37" s="323">
        <f t="shared" si="6"/>
        <v>0.88906497622820924</v>
      </c>
      <c r="AQ37" s="520"/>
      <c r="AR37" s="638">
        <v>3429</v>
      </c>
      <c r="AS37" s="623"/>
      <c r="AT37" s="638">
        <v>4616</v>
      </c>
      <c r="AU37" s="623"/>
      <c r="AV37" s="323">
        <f t="shared" si="7"/>
        <v>0.34616506270049574</v>
      </c>
      <c r="AW37" s="520"/>
      <c r="AX37" s="638">
        <v>4059</v>
      </c>
      <c r="AY37" s="623"/>
      <c r="AZ37" s="638">
        <v>5797</v>
      </c>
      <c r="BA37" s="623"/>
      <c r="BB37" s="323">
        <f t="shared" si="8"/>
        <v>0.42818428184281854</v>
      </c>
      <c r="BC37" s="520"/>
      <c r="BD37" s="638">
        <v>757</v>
      </c>
      <c r="BE37" s="623"/>
      <c r="BF37" s="638">
        <v>869</v>
      </c>
      <c r="BG37" s="623"/>
      <c r="BH37" s="323">
        <f t="shared" si="9"/>
        <v>0.14795244385733164</v>
      </c>
      <c r="BI37" s="520"/>
      <c r="BJ37" s="638">
        <v>3141</v>
      </c>
      <c r="BK37" s="623"/>
      <c r="BL37" s="638">
        <v>4718</v>
      </c>
      <c r="BM37" s="623"/>
      <c r="BN37" s="323">
        <f t="shared" si="10"/>
        <v>0.50206940464820127</v>
      </c>
      <c r="BO37" s="520"/>
      <c r="BP37" s="638">
        <v>905</v>
      </c>
      <c r="BQ37" s="623"/>
      <c r="BR37" s="638">
        <v>1060</v>
      </c>
      <c r="BS37" s="623"/>
      <c r="BT37" s="323">
        <f t="shared" si="11"/>
        <v>0.17127071823204409</v>
      </c>
      <c r="BU37" s="520"/>
      <c r="BV37" s="638">
        <v>1134</v>
      </c>
      <c r="BW37" s="623"/>
      <c r="BX37" s="638">
        <v>1899</v>
      </c>
      <c r="BY37" s="623"/>
      <c r="BZ37" s="323">
        <f t="shared" si="12"/>
        <v>0.67460317460317465</v>
      </c>
      <c r="CA37" s="315"/>
      <c r="CD37" s="531"/>
      <c r="CE37" s="531">
        <v>0</v>
      </c>
      <c r="CF37" s="532">
        <f t="shared" si="27"/>
        <v>0</v>
      </c>
      <c r="CG37" s="531">
        <v>0</v>
      </c>
      <c r="CH37" s="532">
        <f>$M37</f>
        <v>0</v>
      </c>
      <c r="CI37" s="531">
        <v>0</v>
      </c>
      <c r="CJ37" s="532">
        <f>$M37</f>
        <v>0</v>
      </c>
      <c r="CK37" s="531">
        <v>0</v>
      </c>
      <c r="CL37" s="532">
        <f>$M37</f>
        <v>0</v>
      </c>
      <c r="CM37" s="531">
        <v>0</v>
      </c>
      <c r="CN37" s="532">
        <f>$M37</f>
        <v>0</v>
      </c>
      <c r="CO37" s="531">
        <v>0</v>
      </c>
      <c r="CP37" s="532">
        <f>$M37</f>
        <v>0</v>
      </c>
      <c r="CQ37" s="531">
        <v>0</v>
      </c>
      <c r="CR37" s="532">
        <f t="shared" si="43"/>
        <v>0</v>
      </c>
      <c r="CS37" s="531">
        <f t="shared" si="26"/>
        <v>0</v>
      </c>
      <c r="CT37" s="313"/>
      <c r="CU37" s="313"/>
      <c r="CV37" s="313"/>
      <c r="CW37" s="313"/>
      <c r="CX37" s="313"/>
      <c r="CY37" s="313"/>
      <c r="CZ37" s="313"/>
      <c r="DA37" s="313"/>
      <c r="DB37" s="313"/>
      <c r="DC37" s="313"/>
    </row>
    <row r="38" spans="1:107" s="2" customFormat="1" ht="14.25">
      <c r="A38" s="1553" t="s">
        <v>1267</v>
      </c>
      <c r="B38" s="1555" t="s">
        <v>2107</v>
      </c>
      <c r="C38" s="23">
        <v>18</v>
      </c>
      <c r="D38" s="1024" t="s">
        <v>2106</v>
      </c>
      <c r="E38" s="491"/>
      <c r="F38" s="498"/>
      <c r="G38" s="623" t="s">
        <v>484</v>
      </c>
      <c r="H38" s="330" t="s">
        <v>285</v>
      </c>
      <c r="I38" s="624">
        <v>2</v>
      </c>
      <c r="J38" s="657">
        <f t="shared" si="40"/>
        <v>0.98458355188690183</v>
      </c>
      <c r="K38" s="664">
        <f>AVERAGE(BW38,BQ38,BK38,BE38,AY38,AS38,AM38,AG38,AA38,U38)</f>
        <v>2</v>
      </c>
      <c r="L38" s="657">
        <f t="shared" si="41"/>
        <v>0.94813698096594601</v>
      </c>
      <c r="M38" s="511">
        <f>AVERAGE(BY38,BS38,BM38,BG38,BA38,AU38,AO38,AI38,AC38,W38)</f>
        <v>1.5</v>
      </c>
      <c r="N38" s="512">
        <f t="shared" si="22"/>
        <v>-0.5</v>
      </c>
      <c r="O38" s="510">
        <f t="shared" si="42"/>
        <v>0.5</v>
      </c>
      <c r="P38" s="510">
        <f t="shared" si="23"/>
        <v>0.35</v>
      </c>
      <c r="Q38" s="833">
        <f t="shared" si="24"/>
        <v>3.888888888888889E-2</v>
      </c>
      <c r="R38" s="832">
        <f t="shared" si="25"/>
        <v>1.9444444444444445E-2</v>
      </c>
      <c r="S38" s="520"/>
      <c r="T38" s="653">
        <f>IF(T40=0,"",T39/T40)</f>
        <v>0.97826086956521741</v>
      </c>
      <c r="U38" s="332">
        <f>IF(T38&gt;=0.95,2,IF(T38&gt;=0.9,1,0))</f>
        <v>2</v>
      </c>
      <c r="V38" s="653">
        <f>IF(V40=0,"",V39/V40)</f>
        <v>0.95109395109395112</v>
      </c>
      <c r="W38" s="332">
        <f>IF(V38&gt;=0.95,2,IF(V38&gt;=0.9,1,0))</f>
        <v>2</v>
      </c>
      <c r="X38" s="323">
        <f t="shared" si="3"/>
        <v>-2.7770627770627776E-2</v>
      </c>
      <c r="Y38" s="520"/>
      <c r="Z38" s="653">
        <f>IF(Z40=0,"",Z39/Z40)</f>
        <v>0.98565373328985983</v>
      </c>
      <c r="AA38" s="332">
        <f>IF(Z38&gt;=0.95,2,IF(Z38&gt;=0.9,1,0))</f>
        <v>2</v>
      </c>
      <c r="AB38" s="653">
        <f>IF(AB40=0,"",AB39/AB40)</f>
        <v>0.95382850587897905</v>
      </c>
      <c r="AC38" s="332">
        <f>IF(AB38&gt;=0.95,2,IF(AB38&gt;=0.9,1,0))</f>
        <v>2</v>
      </c>
      <c r="AD38" s="323">
        <f t="shared" si="4"/>
        <v>-3.2288446069854926E-2</v>
      </c>
      <c r="AE38" s="520"/>
      <c r="AF38" s="653">
        <f>IF(AF40=0,"",AF39/AF40)</f>
        <v>0.99179157744468238</v>
      </c>
      <c r="AG38" s="332">
        <f>IF(AF38&gt;=0.95,2,IF(AF38&gt;=0.9,1,0))</f>
        <v>2</v>
      </c>
      <c r="AH38" s="653">
        <f>IF(AH40=0,"",AH39/AH40)</f>
        <v>0.94872986369268897</v>
      </c>
      <c r="AI38" s="332">
        <f>IF(AH38&gt;=0.95,2,IF(AH38&gt;=0.9,1,0))</f>
        <v>1</v>
      </c>
      <c r="AJ38" s="323">
        <f t="shared" si="5"/>
        <v>-4.3418107928422267E-2</v>
      </c>
      <c r="AK38" s="520"/>
      <c r="AL38" s="653">
        <f>IF(AL40=0,"",AL39/AL40)</f>
        <v>0.98256735340729007</v>
      </c>
      <c r="AM38" s="332">
        <f>IF(AL38&gt;=0.95,2,IF(AL38&gt;=0.9,1,0))</f>
        <v>2</v>
      </c>
      <c r="AN38" s="653">
        <f>IF(AN40=0,"",AN39/AN40)</f>
        <v>0.92701342281879195</v>
      </c>
      <c r="AO38" s="332">
        <f>IF(AN38&gt;=0.95,2,IF(AN38&gt;=0.9,1,0))</f>
        <v>1</v>
      </c>
      <c r="AP38" s="323">
        <f t="shared" si="6"/>
        <v>-5.6539564840874634E-2</v>
      </c>
      <c r="AQ38" s="520"/>
      <c r="AR38" s="653">
        <f>IF(AR40=0,"",AR39/AR40)</f>
        <v>0.98250218722659666</v>
      </c>
      <c r="AS38" s="332">
        <f>IF(AR38&gt;=0.95,2,IF(AR38&gt;=0.9,1,0))</f>
        <v>2</v>
      </c>
      <c r="AT38" s="653">
        <f>IF(AT40=0,"",AT39/AT40)</f>
        <v>0.9267764298093587</v>
      </c>
      <c r="AU38" s="332">
        <f>IF(AT38&gt;=0.95,2,IF(AT38&gt;=0.9,1,0))</f>
        <v>1</v>
      </c>
      <c r="AV38" s="323">
        <f t="shared" si="7"/>
        <v>-5.6718201894837894E-2</v>
      </c>
      <c r="AW38" s="520"/>
      <c r="AX38" s="653">
        <f>IF(AX40=0,"",AX39/AX40)</f>
        <v>0.99211628479921166</v>
      </c>
      <c r="AY38" s="332">
        <f>IF(AX38&gt;=0.95,2,IF(AX38&gt;=0.9,1,0))</f>
        <v>2</v>
      </c>
      <c r="AZ38" s="653">
        <f>IF(AZ40=0,"",AZ39/AZ40)</f>
        <v>0.94893910643436263</v>
      </c>
      <c r="BA38" s="332">
        <f>IF(AZ38&gt;=0.95,2,IF(AZ38&gt;=0.9,1,0))</f>
        <v>1</v>
      </c>
      <c r="BB38" s="323">
        <f t="shared" si="8"/>
        <v>-4.3520279856697819E-2</v>
      </c>
      <c r="BC38" s="520"/>
      <c r="BD38" s="653">
        <f>IF(BD40=0,"",BD39/BD40)</f>
        <v>0.98943196829590485</v>
      </c>
      <c r="BE38" s="332">
        <f>IF(BD38&gt;=0.95,2,IF(BD38&gt;=0.9,1,0))</f>
        <v>2</v>
      </c>
      <c r="BF38" s="653">
        <f>IF(BF40=0,"",BF39/BF40)</f>
        <v>0.94361334867663982</v>
      </c>
      <c r="BG38" s="332">
        <f>IF(BF38&gt;=0.95,2,IF(BF38&gt;=0.9,1,0))</f>
        <v>1</v>
      </c>
      <c r="BH38" s="323">
        <f t="shared" si="9"/>
        <v>-4.6308004074477438E-2</v>
      </c>
      <c r="BI38" s="520"/>
      <c r="BJ38" s="653">
        <f>IF(BJ40=0,"",BJ39/BJ40)</f>
        <v>0.98853868194842409</v>
      </c>
      <c r="BK38" s="332">
        <f>IF(BJ38&gt;=0.95,2,IF(BJ38&gt;=0.9,1,0))</f>
        <v>2</v>
      </c>
      <c r="BL38" s="653">
        <f>IF(BL40=0,"",BL39/BL40)</f>
        <v>0.9542178889359898</v>
      </c>
      <c r="BM38" s="332">
        <f>IF(BL38&gt;=0.95,2,IF(BL38&gt;=0.9,1,0))</f>
        <v>2</v>
      </c>
      <c r="BN38" s="323">
        <f t="shared" si="10"/>
        <v>-3.4718715250259602E-2</v>
      </c>
      <c r="BO38" s="520"/>
      <c r="BP38" s="653">
        <f>IF(BP40=0,"",BP39/BP40)</f>
        <v>0.97790055248618779</v>
      </c>
      <c r="BQ38" s="332">
        <f>IF(BP38&gt;=0.95,2,IF(BP38&gt;=0.9,1,0))</f>
        <v>2</v>
      </c>
      <c r="BR38" s="653">
        <f>IF(BR40=0,"",BR39/BR40)</f>
        <v>0.96981132075471699</v>
      </c>
      <c r="BS38" s="332">
        <f>IF(BR38&gt;=0.95,2,IF(BR38&gt;=0.9,1,0))</f>
        <v>2</v>
      </c>
      <c r="BT38" s="323">
        <f t="shared" si="11"/>
        <v>-8.2720392282271682E-3</v>
      </c>
      <c r="BU38" s="520"/>
      <c r="BV38" s="653">
        <f>IF(BV40=0,"",BV39/BV40)</f>
        <v>0.97707231040564368</v>
      </c>
      <c r="BW38" s="332">
        <f>IF(BV38&gt;=0.95,2,IF(BV38&gt;=0.9,1,0))</f>
        <v>2</v>
      </c>
      <c r="BX38" s="653">
        <f>IF(BX40=0,"",BX39/BX40)</f>
        <v>0.95734597156398105</v>
      </c>
      <c r="BY38" s="332">
        <f>IF(BX38&gt;=0.95,2,IF(BX38&gt;=0.9,1,0))</f>
        <v>2</v>
      </c>
      <c r="BZ38" s="323">
        <f t="shared" si="12"/>
        <v>-2.0189231269355123E-2</v>
      </c>
      <c r="CA38" s="315"/>
      <c r="CD38" s="531" t="s">
        <v>1640</v>
      </c>
      <c r="CE38" s="531">
        <v>1</v>
      </c>
      <c r="CF38" s="532">
        <f t="shared" si="27"/>
        <v>1.5</v>
      </c>
      <c r="CG38" s="531">
        <v>1</v>
      </c>
      <c r="CH38" s="533">
        <v>2</v>
      </c>
      <c r="CI38" s="531">
        <v>0</v>
      </c>
      <c r="CJ38" s="533">
        <v>1.6666666666666667</v>
      </c>
      <c r="CK38" s="531">
        <v>1</v>
      </c>
      <c r="CL38" s="533">
        <v>1.625</v>
      </c>
      <c r="CM38" s="531">
        <v>1</v>
      </c>
      <c r="CN38" s="533">
        <v>2</v>
      </c>
      <c r="CO38" s="531">
        <v>1</v>
      </c>
      <c r="CP38" s="533">
        <v>2</v>
      </c>
      <c r="CQ38" s="531">
        <v>0</v>
      </c>
      <c r="CR38" s="532">
        <f t="shared" si="43"/>
        <v>1.5</v>
      </c>
      <c r="CS38" s="531">
        <f t="shared" si="26"/>
        <v>15.791666666666668</v>
      </c>
      <c r="CT38" s="313"/>
      <c r="CU38" s="313"/>
      <c r="CV38" s="313"/>
      <c r="CW38" s="313"/>
      <c r="CX38" s="313"/>
      <c r="CY38" s="313"/>
      <c r="CZ38" s="313"/>
      <c r="DA38" s="313"/>
      <c r="DB38" s="313"/>
      <c r="DC38" s="313"/>
    </row>
    <row r="39" spans="1:107" s="2" customFormat="1" ht="14.25">
      <c r="A39" s="1554"/>
      <c r="B39" s="1556"/>
      <c r="C39" s="638">
        <v>18.100000000000001</v>
      </c>
      <c r="D39" s="1022" t="s">
        <v>2068</v>
      </c>
      <c r="E39" s="492" t="s">
        <v>1241</v>
      </c>
      <c r="F39" s="498" t="s">
        <v>1265</v>
      </c>
      <c r="G39" s="625"/>
      <c r="H39" s="334"/>
      <c r="I39" s="623"/>
      <c r="J39" s="658">
        <f t="shared" si="40"/>
        <v>2307.4</v>
      </c>
      <c r="K39" s="664"/>
      <c r="L39" s="658">
        <f t="shared" si="41"/>
        <v>2924.2</v>
      </c>
      <c r="M39" s="511"/>
      <c r="N39" s="512">
        <f t="shared" si="22"/>
        <v>0</v>
      </c>
      <c r="O39" s="510">
        <f t="shared" si="42"/>
        <v>0</v>
      </c>
      <c r="P39" s="510">
        <f t="shared" si="23"/>
        <v>0</v>
      </c>
      <c r="Q39" s="833">
        <f t="shared" si="24"/>
        <v>0</v>
      </c>
      <c r="R39" s="832">
        <f t="shared" si="25"/>
        <v>0</v>
      </c>
      <c r="S39" s="520"/>
      <c r="T39" s="330">
        <v>630</v>
      </c>
      <c r="U39" s="623"/>
      <c r="V39" s="330">
        <v>739</v>
      </c>
      <c r="W39" s="623"/>
      <c r="X39" s="323">
        <f t="shared" si="3"/>
        <v>0.17301587301587307</v>
      </c>
      <c r="Y39" s="520"/>
      <c r="Z39" s="330">
        <v>3023</v>
      </c>
      <c r="AA39" s="623"/>
      <c r="AB39" s="330">
        <v>3326</v>
      </c>
      <c r="AC39" s="623"/>
      <c r="AD39" s="323">
        <f t="shared" si="4"/>
        <v>0.10023155805491224</v>
      </c>
      <c r="AE39" s="520"/>
      <c r="AF39" s="638">
        <v>5558</v>
      </c>
      <c r="AG39" s="623"/>
      <c r="AH39" s="638">
        <v>6125</v>
      </c>
      <c r="AI39" s="623"/>
      <c r="AJ39" s="323">
        <f t="shared" si="5"/>
        <v>0.10201511335012592</v>
      </c>
      <c r="AK39" s="520"/>
      <c r="AL39" s="638">
        <v>620</v>
      </c>
      <c r="AM39" s="623"/>
      <c r="AN39" s="638">
        <v>1105</v>
      </c>
      <c r="AO39" s="623"/>
      <c r="AP39" s="323">
        <f t="shared" si="6"/>
        <v>0.782258064516129</v>
      </c>
      <c r="AQ39" s="520"/>
      <c r="AR39" s="638">
        <v>3369</v>
      </c>
      <c r="AS39" s="623"/>
      <c r="AT39" s="638">
        <v>4278</v>
      </c>
      <c r="AU39" s="623"/>
      <c r="AV39" s="323">
        <f t="shared" si="7"/>
        <v>0.269813000890472</v>
      </c>
      <c r="AW39" s="520"/>
      <c r="AX39" s="638">
        <v>4027</v>
      </c>
      <c r="AY39" s="623"/>
      <c r="AZ39" s="638">
        <v>5501</v>
      </c>
      <c r="BA39" s="623"/>
      <c r="BB39" s="323">
        <f t="shared" si="8"/>
        <v>0.36602930221008201</v>
      </c>
      <c r="BC39" s="520"/>
      <c r="BD39" s="638">
        <v>749</v>
      </c>
      <c r="BE39" s="623"/>
      <c r="BF39" s="638">
        <v>820</v>
      </c>
      <c r="BG39" s="623"/>
      <c r="BH39" s="323">
        <f t="shared" si="9"/>
        <v>9.4793057409879866E-2</v>
      </c>
      <c r="BI39" s="520"/>
      <c r="BJ39" s="638">
        <v>3105</v>
      </c>
      <c r="BK39" s="623"/>
      <c r="BL39" s="638">
        <v>4502</v>
      </c>
      <c r="BM39" s="623"/>
      <c r="BN39" s="323">
        <f t="shared" si="10"/>
        <v>0.44991948470209331</v>
      </c>
      <c r="BO39" s="520"/>
      <c r="BP39" s="638">
        <v>885</v>
      </c>
      <c r="BQ39" s="623"/>
      <c r="BR39" s="638">
        <v>1028</v>
      </c>
      <c r="BS39" s="623"/>
      <c r="BT39" s="323">
        <f t="shared" si="11"/>
        <v>0.16158192090395485</v>
      </c>
      <c r="BU39" s="520"/>
      <c r="BV39" s="638">
        <v>1108</v>
      </c>
      <c r="BW39" s="623"/>
      <c r="BX39" s="638">
        <v>1818</v>
      </c>
      <c r="BY39" s="623"/>
      <c r="BZ39" s="323">
        <f t="shared" si="12"/>
        <v>0.6407942238267148</v>
      </c>
      <c r="CA39" s="315"/>
      <c r="CD39" s="531"/>
      <c r="CE39" s="531">
        <v>0</v>
      </c>
      <c r="CF39" s="532">
        <f t="shared" si="27"/>
        <v>0</v>
      </c>
      <c r="CG39" s="531">
        <v>0</v>
      </c>
      <c r="CH39" s="532">
        <f t="shared" ref="CH39:CH44" si="44">$M39</f>
        <v>0</v>
      </c>
      <c r="CI39" s="531">
        <v>0</v>
      </c>
      <c r="CJ39" s="532">
        <f t="shared" ref="CJ39:CJ51" si="45">$M39</f>
        <v>0</v>
      </c>
      <c r="CK39" s="531">
        <v>0</v>
      </c>
      <c r="CL39" s="532">
        <f t="shared" ref="CL39:CL44" si="46">$M39</f>
        <v>0</v>
      </c>
      <c r="CM39" s="531">
        <v>0</v>
      </c>
      <c r="CN39" s="532">
        <f t="shared" ref="CN39:CN44" si="47">$M39</f>
        <v>0</v>
      </c>
      <c r="CO39" s="531">
        <v>0</v>
      </c>
      <c r="CP39" s="532">
        <f t="shared" ref="CP39:CP44" si="48">$M39</f>
        <v>0</v>
      </c>
      <c r="CQ39" s="531">
        <v>0</v>
      </c>
      <c r="CR39" s="532">
        <f t="shared" si="43"/>
        <v>0</v>
      </c>
      <c r="CS39" s="531">
        <f t="shared" si="26"/>
        <v>0</v>
      </c>
      <c r="CT39" s="313"/>
      <c r="CU39" s="313"/>
      <c r="CV39" s="313"/>
      <c r="CW39" s="313"/>
      <c r="CX39" s="313"/>
      <c r="CY39" s="313"/>
      <c r="CZ39" s="313"/>
      <c r="DA39" s="313"/>
      <c r="DB39" s="313"/>
      <c r="DC39" s="313"/>
    </row>
    <row r="40" spans="1:107" s="2" customFormat="1" ht="14.25">
      <c r="A40" s="1554"/>
      <c r="B40" s="1556"/>
      <c r="C40" s="638">
        <v>18.2</v>
      </c>
      <c r="D40" s="325" t="s">
        <v>1266</v>
      </c>
      <c r="E40" s="492" t="s">
        <v>1241</v>
      </c>
      <c r="F40" s="498" t="s">
        <v>1265</v>
      </c>
      <c r="G40" s="625"/>
      <c r="H40" s="334"/>
      <c r="I40" s="623"/>
      <c r="J40" s="658">
        <f t="shared" si="40"/>
        <v>2337.1</v>
      </c>
      <c r="K40" s="664"/>
      <c r="L40" s="658">
        <f t="shared" si="41"/>
        <v>3087.1</v>
      </c>
      <c r="M40" s="511"/>
      <c r="N40" s="512">
        <f t="shared" si="22"/>
        <v>0</v>
      </c>
      <c r="O40" s="510">
        <f t="shared" si="42"/>
        <v>0</v>
      </c>
      <c r="P40" s="510">
        <f t="shared" si="23"/>
        <v>0</v>
      </c>
      <c r="Q40" s="833">
        <f t="shared" si="24"/>
        <v>0</v>
      </c>
      <c r="R40" s="832">
        <f t="shared" si="25"/>
        <v>0</v>
      </c>
      <c r="S40" s="520"/>
      <c r="T40" s="330">
        <v>644</v>
      </c>
      <c r="U40" s="623"/>
      <c r="V40" s="330">
        <v>777</v>
      </c>
      <c r="W40" s="623"/>
      <c r="X40" s="323">
        <f t="shared" si="3"/>
        <v>0.20652173913043481</v>
      </c>
      <c r="Y40" s="520"/>
      <c r="Z40" s="330">
        <v>3067</v>
      </c>
      <c r="AA40" s="623"/>
      <c r="AB40" s="330">
        <v>3487</v>
      </c>
      <c r="AC40" s="623"/>
      <c r="AD40" s="323">
        <f t="shared" si="4"/>
        <v>0.13694163677861093</v>
      </c>
      <c r="AE40" s="520"/>
      <c r="AF40" s="638">
        <v>5604</v>
      </c>
      <c r="AG40" s="623"/>
      <c r="AH40" s="638">
        <v>6456</v>
      </c>
      <c r="AI40" s="623"/>
      <c r="AJ40" s="323">
        <f t="shared" si="5"/>
        <v>0.15203426124197006</v>
      </c>
      <c r="AK40" s="520"/>
      <c r="AL40" s="638">
        <v>631</v>
      </c>
      <c r="AM40" s="623"/>
      <c r="AN40" s="638">
        <v>1192</v>
      </c>
      <c r="AO40" s="623"/>
      <c r="AP40" s="323">
        <f t="shared" si="6"/>
        <v>0.88906497622820924</v>
      </c>
      <c r="AQ40" s="520"/>
      <c r="AR40" s="638">
        <v>3429</v>
      </c>
      <c r="AS40" s="623"/>
      <c r="AT40" s="638">
        <v>4616</v>
      </c>
      <c r="AU40" s="623"/>
      <c r="AV40" s="323">
        <f t="shared" si="7"/>
        <v>0.34616506270049574</v>
      </c>
      <c r="AW40" s="520"/>
      <c r="AX40" s="638">
        <v>4059</v>
      </c>
      <c r="AY40" s="623"/>
      <c r="AZ40" s="638">
        <v>5797</v>
      </c>
      <c r="BA40" s="623"/>
      <c r="BB40" s="323">
        <f t="shared" si="8"/>
        <v>0.42818428184281854</v>
      </c>
      <c r="BC40" s="520"/>
      <c r="BD40" s="638">
        <v>757</v>
      </c>
      <c r="BE40" s="623"/>
      <c r="BF40" s="638">
        <v>869</v>
      </c>
      <c r="BG40" s="623"/>
      <c r="BH40" s="323">
        <f t="shared" si="9"/>
        <v>0.14795244385733164</v>
      </c>
      <c r="BI40" s="520"/>
      <c r="BJ40" s="638">
        <v>3141</v>
      </c>
      <c r="BK40" s="623"/>
      <c r="BL40" s="638">
        <v>4718</v>
      </c>
      <c r="BM40" s="623"/>
      <c r="BN40" s="323">
        <f t="shared" si="10"/>
        <v>0.50206940464820127</v>
      </c>
      <c r="BO40" s="520"/>
      <c r="BP40" s="638">
        <v>905</v>
      </c>
      <c r="BQ40" s="623"/>
      <c r="BR40" s="638">
        <v>1060</v>
      </c>
      <c r="BS40" s="623"/>
      <c r="BT40" s="323">
        <f t="shared" si="11"/>
        <v>0.17127071823204409</v>
      </c>
      <c r="BU40" s="520"/>
      <c r="BV40" s="638">
        <v>1134</v>
      </c>
      <c r="BW40" s="623"/>
      <c r="BX40" s="638">
        <v>1899</v>
      </c>
      <c r="BY40" s="623"/>
      <c r="BZ40" s="323">
        <f t="shared" si="12"/>
        <v>0.67460317460317465</v>
      </c>
      <c r="CA40" s="315"/>
      <c r="CD40" s="531"/>
      <c r="CE40" s="531">
        <v>0</v>
      </c>
      <c r="CF40" s="532">
        <f t="shared" si="27"/>
        <v>0</v>
      </c>
      <c r="CG40" s="531">
        <v>0</v>
      </c>
      <c r="CH40" s="532">
        <f t="shared" si="44"/>
        <v>0</v>
      </c>
      <c r="CI40" s="531">
        <v>0</v>
      </c>
      <c r="CJ40" s="532">
        <f t="shared" si="45"/>
        <v>0</v>
      </c>
      <c r="CK40" s="531">
        <v>0</v>
      </c>
      <c r="CL40" s="532">
        <f t="shared" si="46"/>
        <v>0</v>
      </c>
      <c r="CM40" s="531">
        <v>0</v>
      </c>
      <c r="CN40" s="532">
        <f t="shared" si="47"/>
        <v>0</v>
      </c>
      <c r="CO40" s="531">
        <v>0</v>
      </c>
      <c r="CP40" s="532">
        <f t="shared" si="48"/>
        <v>0</v>
      </c>
      <c r="CQ40" s="531">
        <v>0</v>
      </c>
      <c r="CR40" s="532">
        <f t="shared" si="43"/>
        <v>0</v>
      </c>
      <c r="CS40" s="531">
        <f t="shared" si="26"/>
        <v>0</v>
      </c>
      <c r="CT40" s="313"/>
      <c r="CU40" s="313"/>
      <c r="CV40" s="313"/>
      <c r="CW40" s="313"/>
      <c r="CX40" s="313"/>
      <c r="CY40" s="313"/>
      <c r="CZ40" s="313"/>
      <c r="DA40" s="313"/>
      <c r="DB40" s="313"/>
      <c r="DC40" s="313"/>
    </row>
    <row r="41" spans="1:107" s="2" customFormat="1" ht="28.5">
      <c r="A41" s="1563" t="s">
        <v>1269</v>
      </c>
      <c r="B41" s="1564" t="s">
        <v>1270</v>
      </c>
      <c r="C41" s="23">
        <v>19</v>
      </c>
      <c r="D41" s="329" t="s">
        <v>1268</v>
      </c>
      <c r="E41" s="492" t="s">
        <v>257</v>
      </c>
      <c r="F41" s="498"/>
      <c r="G41" s="625" t="s">
        <v>490</v>
      </c>
      <c r="H41" s="334" t="s">
        <v>285</v>
      </c>
      <c r="I41" s="1562">
        <v>4</v>
      </c>
      <c r="J41" s="657">
        <f t="shared" si="40"/>
        <v>0</v>
      </c>
      <c r="K41" s="664">
        <f>AVERAGE(BW41,BQ41,BK41,BE41,AY41,AS41,AM41,AG41,AA41,U41)</f>
        <v>3.8</v>
      </c>
      <c r="L41" s="657">
        <f t="shared" si="41"/>
        <v>0</v>
      </c>
      <c r="M41" s="511">
        <f>AVERAGE(BY41,BS41,BM41,BG41,BA41,AU41,AO41,AI41,AC41,W41)</f>
        <v>3.9</v>
      </c>
      <c r="N41" s="512">
        <f t="shared" si="22"/>
        <v>0.10000000000000009</v>
      </c>
      <c r="O41" s="510">
        <f t="shared" si="42"/>
        <v>0.10000000000000009</v>
      </c>
      <c r="P41" s="510">
        <f t="shared" si="23"/>
        <v>7.0000000000000062E-2</v>
      </c>
      <c r="Q41" s="833">
        <f t="shared" si="24"/>
        <v>7.7777777777777845E-3</v>
      </c>
      <c r="R41" s="832">
        <f t="shared" si="25"/>
        <v>3.8888888888888922E-3</v>
      </c>
      <c r="S41" s="520"/>
      <c r="T41" s="330">
        <v>0</v>
      </c>
      <c r="U41" s="1541">
        <f>4-T41*2-T42*1</f>
        <v>4</v>
      </c>
      <c r="V41" s="330">
        <v>0</v>
      </c>
      <c r="W41" s="1541">
        <f>4-V41*2-V42*1</f>
        <v>4</v>
      </c>
      <c r="X41" s="323">
        <f t="shared" si="3"/>
        <v>0</v>
      </c>
      <c r="Y41" s="520"/>
      <c r="Z41" s="330">
        <v>0</v>
      </c>
      <c r="AA41" s="1541">
        <f>4-Z41*2-Z42*1</f>
        <v>4</v>
      </c>
      <c r="AB41" s="330">
        <v>0</v>
      </c>
      <c r="AC41" s="1541">
        <f>4-AB41*2-AB42*1</f>
        <v>4</v>
      </c>
      <c r="AD41" s="323">
        <f t="shared" si="4"/>
        <v>0</v>
      </c>
      <c r="AE41" s="520"/>
      <c r="AF41" s="330">
        <v>0</v>
      </c>
      <c r="AG41" s="1541">
        <f>4-AF41*2-AF42*1</f>
        <v>3</v>
      </c>
      <c r="AH41" s="330">
        <v>0</v>
      </c>
      <c r="AI41" s="1541">
        <f>4-AH41*2-AH42*1</f>
        <v>3</v>
      </c>
      <c r="AJ41" s="323">
        <f t="shared" si="5"/>
        <v>0</v>
      </c>
      <c r="AK41" s="520"/>
      <c r="AL41" s="330">
        <v>0</v>
      </c>
      <c r="AM41" s="1541">
        <f>4-AL41*2-AL42*1</f>
        <v>4</v>
      </c>
      <c r="AN41" s="330">
        <v>0</v>
      </c>
      <c r="AO41" s="1541">
        <f>4-AN41*2-AN42*1</f>
        <v>4</v>
      </c>
      <c r="AP41" s="323">
        <f t="shared" si="6"/>
        <v>0</v>
      </c>
      <c r="AQ41" s="520"/>
      <c r="AR41" s="330">
        <v>0</v>
      </c>
      <c r="AS41" s="1541">
        <f>4-AR41*2-AR42*1</f>
        <v>3</v>
      </c>
      <c r="AT41" s="330">
        <v>0</v>
      </c>
      <c r="AU41" s="1541">
        <f>4-AT41*2-AT42*1</f>
        <v>4</v>
      </c>
      <c r="AV41" s="323">
        <f t="shared" si="7"/>
        <v>0</v>
      </c>
      <c r="AW41" s="520"/>
      <c r="AX41" s="330">
        <v>0</v>
      </c>
      <c r="AY41" s="1541">
        <f>4-AX41*2-AX42*1</f>
        <v>4</v>
      </c>
      <c r="AZ41" s="330">
        <v>0</v>
      </c>
      <c r="BA41" s="1541">
        <f>4-AZ41*2-AZ42*1</f>
        <v>4</v>
      </c>
      <c r="BB41" s="323">
        <f t="shared" si="8"/>
        <v>0</v>
      </c>
      <c r="BC41" s="520"/>
      <c r="BD41" s="330">
        <v>0</v>
      </c>
      <c r="BE41" s="1541">
        <f>4-BD41*2-BD42*1</f>
        <v>4</v>
      </c>
      <c r="BF41" s="330">
        <v>0</v>
      </c>
      <c r="BG41" s="1541">
        <f>4-BF41*2-BF42*1</f>
        <v>4</v>
      </c>
      <c r="BH41" s="323">
        <f t="shared" si="9"/>
        <v>0</v>
      </c>
      <c r="BI41" s="520"/>
      <c r="BJ41" s="330">
        <v>0</v>
      </c>
      <c r="BK41" s="1541">
        <f>4-BJ41*2-BJ42*1</f>
        <v>4</v>
      </c>
      <c r="BL41" s="330">
        <v>0</v>
      </c>
      <c r="BM41" s="1541">
        <f>4-BL41*2-BL42*1</f>
        <v>4</v>
      </c>
      <c r="BN41" s="323">
        <f t="shared" si="10"/>
        <v>0</v>
      </c>
      <c r="BO41" s="520"/>
      <c r="BP41" s="330">
        <v>0</v>
      </c>
      <c r="BQ41" s="1541">
        <f>4-BP41*2-BP42*1</f>
        <v>4</v>
      </c>
      <c r="BR41" s="330">
        <v>0</v>
      </c>
      <c r="BS41" s="1541">
        <f>4-BR41*2-BR42*1</f>
        <v>4</v>
      </c>
      <c r="BT41" s="323">
        <f t="shared" si="11"/>
        <v>0</v>
      </c>
      <c r="BU41" s="520"/>
      <c r="BV41" s="330">
        <v>0</v>
      </c>
      <c r="BW41" s="1541">
        <f>4-BV41*2-BV42*1</f>
        <v>4</v>
      </c>
      <c r="BX41" s="330">
        <v>0</v>
      </c>
      <c r="BY41" s="1541">
        <f>4-BX41*2-BX42*1</f>
        <v>4</v>
      </c>
      <c r="BZ41" s="323">
        <f t="shared" si="12"/>
        <v>0</v>
      </c>
      <c r="CA41" s="315"/>
      <c r="CD41" s="531"/>
      <c r="CE41" s="531">
        <v>0</v>
      </c>
      <c r="CF41" s="532">
        <f t="shared" si="27"/>
        <v>3.9</v>
      </c>
      <c r="CG41" s="531">
        <v>0</v>
      </c>
      <c r="CH41" s="532">
        <f t="shared" si="44"/>
        <v>3.9</v>
      </c>
      <c r="CI41" s="531">
        <v>0</v>
      </c>
      <c r="CJ41" s="532">
        <f t="shared" si="45"/>
        <v>3.9</v>
      </c>
      <c r="CK41" s="531">
        <v>0</v>
      </c>
      <c r="CL41" s="532">
        <f t="shared" si="46"/>
        <v>3.9</v>
      </c>
      <c r="CM41" s="531">
        <v>0</v>
      </c>
      <c r="CN41" s="532">
        <f t="shared" si="47"/>
        <v>3.9</v>
      </c>
      <c r="CO41" s="531">
        <v>0</v>
      </c>
      <c r="CP41" s="532">
        <f t="shared" si="48"/>
        <v>3.9</v>
      </c>
      <c r="CQ41" s="531">
        <v>0</v>
      </c>
      <c r="CR41" s="532">
        <f t="shared" si="43"/>
        <v>3.9</v>
      </c>
      <c r="CS41" s="531">
        <f t="shared" si="26"/>
        <v>23.4</v>
      </c>
      <c r="CT41" s="313"/>
      <c r="CU41" s="313"/>
      <c r="CV41" s="313"/>
      <c r="CW41" s="313"/>
      <c r="CX41" s="313"/>
      <c r="CY41" s="313"/>
      <c r="CZ41" s="313"/>
      <c r="DA41" s="313"/>
      <c r="DB41" s="313"/>
      <c r="DC41" s="313"/>
    </row>
    <row r="42" spans="1:107" s="2" customFormat="1" ht="28.5">
      <c r="A42" s="1563"/>
      <c r="B42" s="1564"/>
      <c r="C42" s="23">
        <v>20</v>
      </c>
      <c r="D42" s="1024" t="s">
        <v>2069</v>
      </c>
      <c r="E42" s="492" t="s">
        <v>257</v>
      </c>
      <c r="F42" s="498"/>
      <c r="G42" s="625" t="s">
        <v>489</v>
      </c>
      <c r="H42" s="334" t="s">
        <v>285</v>
      </c>
      <c r="I42" s="1562"/>
      <c r="J42" s="661">
        <f t="shared" si="40"/>
        <v>0.2</v>
      </c>
      <c r="K42" s="664">
        <v>0</v>
      </c>
      <c r="L42" s="661">
        <f t="shared" si="41"/>
        <v>0.1</v>
      </c>
      <c r="M42" s="511"/>
      <c r="N42" s="512">
        <f t="shared" si="22"/>
        <v>0</v>
      </c>
      <c r="O42" s="510">
        <f t="shared" si="42"/>
        <v>0</v>
      </c>
      <c r="P42" s="510">
        <f t="shared" si="23"/>
        <v>0</v>
      </c>
      <c r="Q42" s="833">
        <f t="shared" si="24"/>
        <v>0</v>
      </c>
      <c r="R42" s="832">
        <f t="shared" si="25"/>
        <v>0</v>
      </c>
      <c r="S42" s="520"/>
      <c r="T42" s="330">
        <v>0</v>
      </c>
      <c r="U42" s="1541"/>
      <c r="V42" s="330">
        <v>0</v>
      </c>
      <c r="W42" s="1541"/>
      <c r="X42" s="323">
        <f t="shared" si="3"/>
        <v>0</v>
      </c>
      <c r="Y42" s="520"/>
      <c r="Z42" s="330">
        <v>0</v>
      </c>
      <c r="AA42" s="1541"/>
      <c r="AB42" s="330">
        <v>0</v>
      </c>
      <c r="AC42" s="1541"/>
      <c r="AD42" s="323">
        <f t="shared" si="4"/>
        <v>0</v>
      </c>
      <c r="AE42" s="520"/>
      <c r="AF42" s="330">
        <v>1</v>
      </c>
      <c r="AG42" s="1541"/>
      <c r="AH42" s="330">
        <v>1</v>
      </c>
      <c r="AI42" s="1541"/>
      <c r="AJ42" s="323">
        <f t="shared" si="5"/>
        <v>0</v>
      </c>
      <c r="AK42" s="520"/>
      <c r="AL42" s="330">
        <v>0</v>
      </c>
      <c r="AM42" s="1541"/>
      <c r="AN42" s="330">
        <v>0</v>
      </c>
      <c r="AO42" s="1541"/>
      <c r="AP42" s="323">
        <f t="shared" si="6"/>
        <v>0</v>
      </c>
      <c r="AQ42" s="520"/>
      <c r="AR42" s="330">
        <v>1</v>
      </c>
      <c r="AS42" s="1541"/>
      <c r="AT42" s="330">
        <v>0</v>
      </c>
      <c r="AU42" s="1541"/>
      <c r="AV42" s="323">
        <f t="shared" si="7"/>
        <v>-1</v>
      </c>
      <c r="AW42" s="520"/>
      <c r="AX42" s="330">
        <v>0</v>
      </c>
      <c r="AY42" s="1541"/>
      <c r="AZ42" s="330">
        <v>0</v>
      </c>
      <c r="BA42" s="1541"/>
      <c r="BB42" s="323">
        <f t="shared" si="8"/>
        <v>0</v>
      </c>
      <c r="BC42" s="520"/>
      <c r="BD42" s="330">
        <v>0</v>
      </c>
      <c r="BE42" s="1541"/>
      <c r="BF42" s="330">
        <v>0</v>
      </c>
      <c r="BG42" s="1541"/>
      <c r="BH42" s="323">
        <f t="shared" si="9"/>
        <v>0</v>
      </c>
      <c r="BI42" s="520"/>
      <c r="BJ42" s="330">
        <v>0</v>
      </c>
      <c r="BK42" s="1541"/>
      <c r="BL42" s="330">
        <v>0</v>
      </c>
      <c r="BM42" s="1541"/>
      <c r="BN42" s="323">
        <f t="shared" si="10"/>
        <v>0</v>
      </c>
      <c r="BO42" s="520"/>
      <c r="BP42" s="330">
        <v>0</v>
      </c>
      <c r="BQ42" s="1541"/>
      <c r="BR42" s="330">
        <v>0</v>
      </c>
      <c r="BS42" s="1541"/>
      <c r="BT42" s="323">
        <f t="shared" si="11"/>
        <v>0</v>
      </c>
      <c r="BU42" s="520"/>
      <c r="BV42" s="330">
        <v>0</v>
      </c>
      <c r="BW42" s="1541"/>
      <c r="BX42" s="330">
        <v>0</v>
      </c>
      <c r="BY42" s="1541"/>
      <c r="BZ42" s="323">
        <f t="shared" si="12"/>
        <v>0</v>
      </c>
      <c r="CA42" s="315"/>
      <c r="CD42" s="531"/>
      <c r="CE42" s="531">
        <v>0</v>
      </c>
      <c r="CF42" s="532">
        <f t="shared" si="27"/>
        <v>0</v>
      </c>
      <c r="CG42" s="531">
        <v>0</v>
      </c>
      <c r="CH42" s="532">
        <f t="shared" si="44"/>
        <v>0</v>
      </c>
      <c r="CI42" s="531">
        <v>0</v>
      </c>
      <c r="CJ42" s="532">
        <f t="shared" si="45"/>
        <v>0</v>
      </c>
      <c r="CK42" s="531">
        <v>0</v>
      </c>
      <c r="CL42" s="532">
        <f t="shared" si="46"/>
        <v>0</v>
      </c>
      <c r="CM42" s="531">
        <v>0</v>
      </c>
      <c r="CN42" s="532">
        <f t="shared" si="47"/>
        <v>0</v>
      </c>
      <c r="CO42" s="531">
        <v>0</v>
      </c>
      <c r="CP42" s="532">
        <f t="shared" si="48"/>
        <v>0</v>
      </c>
      <c r="CQ42" s="531">
        <v>0</v>
      </c>
      <c r="CR42" s="532">
        <f t="shared" si="43"/>
        <v>0</v>
      </c>
      <c r="CS42" s="531">
        <f t="shared" si="26"/>
        <v>0</v>
      </c>
      <c r="CT42" s="313"/>
      <c r="CU42" s="313"/>
      <c r="CV42" s="313"/>
      <c r="CW42" s="313"/>
      <c r="CX42" s="313"/>
      <c r="CY42" s="313"/>
      <c r="CZ42" s="313"/>
      <c r="DA42" s="313"/>
      <c r="DB42" s="313"/>
      <c r="DC42" s="313"/>
    </row>
    <row r="43" spans="1:107" s="2" customFormat="1" ht="28.5">
      <c r="A43" s="1563" t="s">
        <v>1271</v>
      </c>
      <c r="B43" s="1564" t="s">
        <v>1272</v>
      </c>
      <c r="C43" s="23">
        <v>21</v>
      </c>
      <c r="D43" s="329" t="s">
        <v>2070</v>
      </c>
      <c r="E43" s="492" t="s">
        <v>1215</v>
      </c>
      <c r="F43" s="498" t="s">
        <v>1824</v>
      </c>
      <c r="G43" s="625" t="s">
        <v>1825</v>
      </c>
      <c r="H43" s="334" t="s">
        <v>285</v>
      </c>
      <c r="I43" s="1562">
        <v>6</v>
      </c>
      <c r="J43" s="661">
        <f t="shared" si="40"/>
        <v>0</v>
      </c>
      <c r="K43" s="664">
        <f>AVERAGE(BW43,BQ43,BK43,BE43,AY43,AS43,AM43,AG43,AA43,U43)</f>
        <v>6</v>
      </c>
      <c r="L43" s="661">
        <f t="shared" si="41"/>
        <v>0</v>
      </c>
      <c r="M43" s="511">
        <f>AVERAGE(BY43,BS43,BM43,BG43,BA43,AU43,AO43,AI43,AC43,W43)</f>
        <v>6</v>
      </c>
      <c r="N43" s="512">
        <f t="shared" si="22"/>
        <v>0</v>
      </c>
      <c r="O43" s="510">
        <f t="shared" si="42"/>
        <v>0</v>
      </c>
      <c r="P43" s="510">
        <f t="shared" si="23"/>
        <v>0</v>
      </c>
      <c r="Q43" s="833">
        <f t="shared" si="24"/>
        <v>0</v>
      </c>
      <c r="R43" s="832">
        <f t="shared" si="25"/>
        <v>0</v>
      </c>
      <c r="S43" s="520"/>
      <c r="T43" s="330">
        <v>0</v>
      </c>
      <c r="U43" s="1541">
        <f>6-T43*0.5-T44*3</f>
        <v>6</v>
      </c>
      <c r="V43" s="330">
        <v>0</v>
      </c>
      <c r="W43" s="1541">
        <f>6-V43*0.5-V44*3</f>
        <v>6</v>
      </c>
      <c r="X43" s="323">
        <f t="shared" si="3"/>
        <v>0</v>
      </c>
      <c r="Y43" s="520"/>
      <c r="Z43" s="330">
        <v>0</v>
      </c>
      <c r="AA43" s="1541">
        <f>6-Z43*0.5-Z44*3</f>
        <v>6</v>
      </c>
      <c r="AB43" s="330">
        <v>0</v>
      </c>
      <c r="AC43" s="1541">
        <f>6-AB43*0.5-AB44*3</f>
        <v>6</v>
      </c>
      <c r="AD43" s="323">
        <f t="shared" si="4"/>
        <v>0</v>
      </c>
      <c r="AE43" s="520"/>
      <c r="AF43" s="330">
        <v>0</v>
      </c>
      <c r="AG43" s="1541">
        <f>6-AF43*0.5-AF44*3</f>
        <v>6</v>
      </c>
      <c r="AH43" s="330">
        <v>0</v>
      </c>
      <c r="AI43" s="1541">
        <f>6-AH43*0.5-AH44*3</f>
        <v>6</v>
      </c>
      <c r="AJ43" s="323">
        <f t="shared" si="5"/>
        <v>0</v>
      </c>
      <c r="AK43" s="520"/>
      <c r="AL43" s="338">
        <v>0</v>
      </c>
      <c r="AM43" s="1541">
        <f>6-AL43*0.5-AL44*3</f>
        <v>6</v>
      </c>
      <c r="AN43" s="338">
        <v>0</v>
      </c>
      <c r="AO43" s="1541">
        <f>6-AN43*0.5-AN44*3</f>
        <v>6</v>
      </c>
      <c r="AP43" s="323">
        <f t="shared" si="6"/>
        <v>0</v>
      </c>
      <c r="AQ43" s="520"/>
      <c r="AR43" s="338">
        <v>0</v>
      </c>
      <c r="AS43" s="1541">
        <f>6-AR43*0.5-AR44*3</f>
        <v>6</v>
      </c>
      <c r="AT43" s="338">
        <v>0</v>
      </c>
      <c r="AU43" s="1541">
        <f>6-AT43*0.5-AT44*3</f>
        <v>6</v>
      </c>
      <c r="AV43" s="323">
        <f t="shared" si="7"/>
        <v>0</v>
      </c>
      <c r="AW43" s="520"/>
      <c r="AX43" s="330">
        <v>0</v>
      </c>
      <c r="AY43" s="1541">
        <f>6-AX43*0.5-AX44*3</f>
        <v>6</v>
      </c>
      <c r="AZ43" s="330">
        <v>0</v>
      </c>
      <c r="BA43" s="1541">
        <f>6-AZ43*0.5-AZ44*3</f>
        <v>6</v>
      </c>
      <c r="BB43" s="323">
        <f t="shared" si="8"/>
        <v>0</v>
      </c>
      <c r="BC43" s="520"/>
      <c r="BD43" s="330">
        <v>0</v>
      </c>
      <c r="BE43" s="1541">
        <f>6-BD43*0.5-BD44*3</f>
        <v>6</v>
      </c>
      <c r="BF43" s="330">
        <v>0</v>
      </c>
      <c r="BG43" s="1541">
        <f>6-BF43*0.5-BF44*3</f>
        <v>6</v>
      </c>
      <c r="BH43" s="323">
        <f t="shared" si="9"/>
        <v>0</v>
      </c>
      <c r="BI43" s="520"/>
      <c r="BJ43" s="330">
        <v>0</v>
      </c>
      <c r="BK43" s="1541">
        <f>6-BJ43*0.5-BJ44*3</f>
        <v>6</v>
      </c>
      <c r="BL43" s="330">
        <v>0</v>
      </c>
      <c r="BM43" s="1541">
        <f>6-BL43*0.5-BL44*3</f>
        <v>6</v>
      </c>
      <c r="BN43" s="323">
        <f t="shared" si="10"/>
        <v>0</v>
      </c>
      <c r="BO43" s="520"/>
      <c r="BP43" s="330">
        <v>0</v>
      </c>
      <c r="BQ43" s="1541">
        <f>6-BP43*0.5-BP44*3</f>
        <v>6</v>
      </c>
      <c r="BR43" s="330">
        <v>0</v>
      </c>
      <c r="BS43" s="1541">
        <f>6-BR43*0.5-BR44*3</f>
        <v>6</v>
      </c>
      <c r="BT43" s="323">
        <f t="shared" si="11"/>
        <v>0</v>
      </c>
      <c r="BU43" s="520"/>
      <c r="BV43" s="338">
        <v>0</v>
      </c>
      <c r="BW43" s="1541">
        <f>6-BV43*0.5-BV44*3</f>
        <v>6</v>
      </c>
      <c r="BX43" s="338">
        <v>0</v>
      </c>
      <c r="BY43" s="1541">
        <f>6-BX43*0.5-BX44*3</f>
        <v>6</v>
      </c>
      <c r="BZ43" s="323">
        <f t="shared" si="12"/>
        <v>0</v>
      </c>
      <c r="CA43" s="315"/>
      <c r="CD43" s="531"/>
      <c r="CE43" s="531">
        <v>1</v>
      </c>
      <c r="CF43" s="532">
        <f t="shared" ref="CF43:CF72" si="49">$M43</f>
        <v>6</v>
      </c>
      <c r="CG43" s="531">
        <v>1</v>
      </c>
      <c r="CH43" s="532">
        <f t="shared" si="44"/>
        <v>6</v>
      </c>
      <c r="CI43" s="531">
        <v>1</v>
      </c>
      <c r="CJ43" s="532">
        <f t="shared" si="45"/>
        <v>6</v>
      </c>
      <c r="CK43" s="531">
        <v>1</v>
      </c>
      <c r="CL43" s="532">
        <f t="shared" si="46"/>
        <v>6</v>
      </c>
      <c r="CM43" s="531">
        <v>1</v>
      </c>
      <c r="CN43" s="532">
        <f t="shared" si="47"/>
        <v>6</v>
      </c>
      <c r="CO43" s="531">
        <v>1</v>
      </c>
      <c r="CP43" s="532">
        <f t="shared" si="48"/>
        <v>6</v>
      </c>
      <c r="CQ43" s="531">
        <v>0</v>
      </c>
      <c r="CR43" s="532">
        <f t="shared" si="43"/>
        <v>6</v>
      </c>
      <c r="CS43" s="531">
        <f t="shared" si="26"/>
        <v>42</v>
      </c>
      <c r="CT43" s="313"/>
      <c r="CU43" s="313"/>
      <c r="CV43" s="313"/>
      <c r="CW43" s="313"/>
      <c r="CX43" s="313"/>
      <c r="CY43" s="313"/>
      <c r="CZ43" s="313"/>
      <c r="DA43" s="313"/>
      <c r="DB43" s="313"/>
      <c r="DC43" s="313"/>
    </row>
    <row r="44" spans="1:107" s="2" customFormat="1" ht="28.5">
      <c r="A44" s="1563"/>
      <c r="B44" s="1564"/>
      <c r="C44" s="23">
        <v>22</v>
      </c>
      <c r="D44" s="329" t="s">
        <v>1273</v>
      </c>
      <c r="E44" s="492" t="s">
        <v>1215</v>
      </c>
      <c r="F44" s="498" t="s">
        <v>1824</v>
      </c>
      <c r="G44" s="625" t="s">
        <v>489</v>
      </c>
      <c r="H44" s="334" t="s">
        <v>285</v>
      </c>
      <c r="I44" s="1562"/>
      <c r="J44" s="661">
        <f t="shared" si="40"/>
        <v>0</v>
      </c>
      <c r="K44" s="664">
        <v>0</v>
      </c>
      <c r="L44" s="661">
        <f t="shared" si="41"/>
        <v>0</v>
      </c>
      <c r="M44" s="511"/>
      <c r="N44" s="512">
        <f t="shared" si="22"/>
        <v>0</v>
      </c>
      <c r="O44" s="510">
        <f t="shared" si="42"/>
        <v>0</v>
      </c>
      <c r="P44" s="510">
        <f t="shared" si="23"/>
        <v>0</v>
      </c>
      <c r="Q44" s="833">
        <f t="shared" si="24"/>
        <v>0</v>
      </c>
      <c r="R44" s="832">
        <f t="shared" si="25"/>
        <v>0</v>
      </c>
      <c r="S44" s="520"/>
      <c r="T44" s="330">
        <v>0</v>
      </c>
      <c r="U44" s="1541"/>
      <c r="V44" s="330">
        <v>0</v>
      </c>
      <c r="W44" s="1541"/>
      <c r="X44" s="323">
        <f t="shared" si="3"/>
        <v>0</v>
      </c>
      <c r="Y44" s="520"/>
      <c r="Z44" s="330">
        <v>0</v>
      </c>
      <c r="AA44" s="1541"/>
      <c r="AB44" s="330">
        <v>0</v>
      </c>
      <c r="AC44" s="1541"/>
      <c r="AD44" s="323">
        <f t="shared" si="4"/>
        <v>0</v>
      </c>
      <c r="AE44" s="520"/>
      <c r="AF44" s="330">
        <v>0</v>
      </c>
      <c r="AG44" s="1541"/>
      <c r="AH44" s="330">
        <v>0</v>
      </c>
      <c r="AI44" s="1541"/>
      <c r="AJ44" s="323">
        <f t="shared" si="5"/>
        <v>0</v>
      </c>
      <c r="AK44" s="520"/>
      <c r="AL44" s="338">
        <v>0</v>
      </c>
      <c r="AM44" s="1541"/>
      <c r="AN44" s="338">
        <v>0</v>
      </c>
      <c r="AO44" s="1541"/>
      <c r="AP44" s="323">
        <f t="shared" si="6"/>
        <v>0</v>
      </c>
      <c r="AQ44" s="520"/>
      <c r="AR44" s="338">
        <v>0</v>
      </c>
      <c r="AS44" s="1541"/>
      <c r="AT44" s="338">
        <v>0</v>
      </c>
      <c r="AU44" s="1541"/>
      <c r="AV44" s="323">
        <f t="shared" si="7"/>
        <v>0</v>
      </c>
      <c r="AW44" s="520"/>
      <c r="AX44" s="330">
        <v>0</v>
      </c>
      <c r="AY44" s="1541"/>
      <c r="AZ44" s="330">
        <v>0</v>
      </c>
      <c r="BA44" s="1541"/>
      <c r="BB44" s="323">
        <f t="shared" si="8"/>
        <v>0</v>
      </c>
      <c r="BC44" s="520"/>
      <c r="BD44" s="330">
        <v>0</v>
      </c>
      <c r="BE44" s="1541"/>
      <c r="BF44" s="330">
        <v>0</v>
      </c>
      <c r="BG44" s="1541"/>
      <c r="BH44" s="323">
        <f t="shared" si="9"/>
        <v>0</v>
      </c>
      <c r="BI44" s="520"/>
      <c r="BJ44" s="330">
        <v>0</v>
      </c>
      <c r="BK44" s="1541"/>
      <c r="BL44" s="330">
        <v>0</v>
      </c>
      <c r="BM44" s="1541"/>
      <c r="BN44" s="323">
        <f t="shared" si="10"/>
        <v>0</v>
      </c>
      <c r="BO44" s="520"/>
      <c r="BP44" s="330">
        <v>0</v>
      </c>
      <c r="BQ44" s="1541"/>
      <c r="BR44" s="330">
        <v>0</v>
      </c>
      <c r="BS44" s="1541"/>
      <c r="BT44" s="323">
        <f t="shared" si="11"/>
        <v>0</v>
      </c>
      <c r="BU44" s="520"/>
      <c r="BV44" s="338">
        <v>0</v>
      </c>
      <c r="BW44" s="1541"/>
      <c r="BX44" s="338">
        <v>0</v>
      </c>
      <c r="BY44" s="1541"/>
      <c r="BZ44" s="323">
        <f t="shared" si="12"/>
        <v>0</v>
      </c>
      <c r="CA44" s="315"/>
      <c r="CD44" s="531"/>
      <c r="CE44" s="531">
        <v>1</v>
      </c>
      <c r="CF44" s="532">
        <f t="shared" si="49"/>
        <v>0</v>
      </c>
      <c r="CG44" s="531">
        <v>1</v>
      </c>
      <c r="CH44" s="532">
        <f t="shared" si="44"/>
        <v>0</v>
      </c>
      <c r="CI44" s="531">
        <v>1</v>
      </c>
      <c r="CJ44" s="532">
        <f t="shared" si="45"/>
        <v>0</v>
      </c>
      <c r="CK44" s="531">
        <v>1</v>
      </c>
      <c r="CL44" s="532">
        <f t="shared" si="46"/>
        <v>0</v>
      </c>
      <c r="CM44" s="531">
        <v>1</v>
      </c>
      <c r="CN44" s="532">
        <f t="shared" si="47"/>
        <v>0</v>
      </c>
      <c r="CO44" s="531">
        <v>1</v>
      </c>
      <c r="CP44" s="532">
        <f t="shared" si="48"/>
        <v>0</v>
      </c>
      <c r="CQ44" s="531">
        <v>0</v>
      </c>
      <c r="CR44" s="532">
        <f t="shared" si="43"/>
        <v>0</v>
      </c>
      <c r="CS44" s="531">
        <f t="shared" si="26"/>
        <v>6</v>
      </c>
      <c r="CT44" s="313"/>
      <c r="CU44" s="313"/>
      <c r="CV44" s="313"/>
      <c r="CW44" s="313"/>
      <c r="CX44" s="313"/>
      <c r="CY44" s="313"/>
      <c r="CZ44" s="313"/>
      <c r="DA44" s="313"/>
      <c r="DB44" s="313"/>
      <c r="DC44" s="313"/>
    </row>
    <row r="45" spans="1:107" s="2" customFormat="1" ht="14.25">
      <c r="A45" s="1553" t="s">
        <v>1274</v>
      </c>
      <c r="B45" s="1555" t="s">
        <v>2310</v>
      </c>
      <c r="C45" s="23">
        <v>23</v>
      </c>
      <c r="D45" s="1024" t="s">
        <v>2108</v>
      </c>
      <c r="E45" s="492"/>
      <c r="F45" s="623"/>
      <c r="G45" s="623" t="s">
        <v>484</v>
      </c>
      <c r="H45" s="330" t="s">
        <v>285</v>
      </c>
      <c r="I45" s="624">
        <v>3</v>
      </c>
      <c r="J45" s="657">
        <f t="shared" si="40"/>
        <v>0.91573755653465017</v>
      </c>
      <c r="K45" s="664">
        <f>AVERAGE(BW45,BQ45,BK45,BE45,AY45,AS45,AM45,AG45,AA45,U45)</f>
        <v>2.7</v>
      </c>
      <c r="L45" s="657">
        <f t="shared" si="41"/>
        <v>0.94056944155913658</v>
      </c>
      <c r="M45" s="511">
        <f>AVERAGE(BY45,BS45,BM45,BG45,BA45,AU45,AO45,AI45,AC45,W45)</f>
        <v>2.85</v>
      </c>
      <c r="N45" s="512">
        <f t="shared" si="22"/>
        <v>0.14999999999999991</v>
      </c>
      <c r="O45" s="510">
        <f t="shared" si="42"/>
        <v>0.14999999999999991</v>
      </c>
      <c r="P45" s="510">
        <f t="shared" si="23"/>
        <v>0.10499999999999993</v>
      </c>
      <c r="Q45" s="833">
        <f t="shared" si="24"/>
        <v>1.1666666666666659E-2</v>
      </c>
      <c r="R45" s="832">
        <f t="shared" si="25"/>
        <v>5.8333333333333293E-3</v>
      </c>
      <c r="S45" s="520"/>
      <c r="T45" s="653">
        <f>IF(T47=0,"",T46/T47)</f>
        <v>0.97390477680607312</v>
      </c>
      <c r="U45" s="332">
        <f>IF(T45&gt;=0.9,3,IF(T45&gt;=0.8,1.5,0))</f>
        <v>3</v>
      </c>
      <c r="V45" s="653">
        <f>IF(V47=0,"",V46/V47)</f>
        <v>0.98427036589072103</v>
      </c>
      <c r="W45" s="332">
        <f>IF(V45&gt;=0.9,3,IF(V45&gt;=0.8,1.5,0))</f>
        <v>3</v>
      </c>
      <c r="X45" s="323">
        <f t="shared" si="3"/>
        <v>1.0643329133924073E-2</v>
      </c>
      <c r="Y45" s="520"/>
      <c r="Z45" s="653">
        <f>IF(Z47=0,"",Z46/Z47)</f>
        <v>0.93581501093548247</v>
      </c>
      <c r="AA45" s="332">
        <f>IF(Z45&gt;=0.9,3,IF(Z45&gt;=0.8,1.5,0))</f>
        <v>3</v>
      </c>
      <c r="AB45" s="653">
        <f>IF(AB47=0,"",AB46/AB47)</f>
        <v>0.95774802788535718</v>
      </c>
      <c r="AC45" s="332">
        <f>IF(AB45&gt;=0.9,3,IF(AB45&gt;=0.8,1.5,0))</f>
        <v>3</v>
      </c>
      <c r="AD45" s="323">
        <f t="shared" si="4"/>
        <v>2.3437342523443316E-2</v>
      </c>
      <c r="AE45" s="520"/>
      <c r="AF45" s="653">
        <f>IF(AF47=0,"",AF46/AF47)</f>
        <v>0.90729292479918122</v>
      </c>
      <c r="AG45" s="332">
        <f>IF(AF45&gt;=0.9,3,IF(AF45&gt;=0.8,1.5,0))</f>
        <v>3</v>
      </c>
      <c r="AH45" s="653">
        <f>IF(AH47=0,"",AH46/AH47)</f>
        <v>0.94313821758224647</v>
      </c>
      <c r="AI45" s="332">
        <f>IF(AH45&gt;=0.9,3,IF(AH45&gt;=0.8,1.5,0))</f>
        <v>3</v>
      </c>
      <c r="AJ45" s="323">
        <f t="shared" si="5"/>
        <v>3.9507960222437744E-2</v>
      </c>
      <c r="AK45" s="520"/>
      <c r="AL45" s="653">
        <f>IF(AL47=0,"",AL46/AL47)</f>
        <v>0.9438742346212019</v>
      </c>
      <c r="AM45" s="332">
        <f>IF(AL45&gt;=0.9,3,IF(AL45&gt;=0.8,1.5,0))</f>
        <v>3</v>
      </c>
      <c r="AN45" s="653">
        <f>IF(AN47=0,"",AN46/AN47)</f>
        <v>0.94251974431105945</v>
      </c>
      <c r="AO45" s="332">
        <f>IF(AN45&gt;=0.9,3,IF(AN45&gt;=0.8,1.5,0))</f>
        <v>3</v>
      </c>
      <c r="AP45" s="323">
        <f t="shared" si="6"/>
        <v>-1.4350326139436209E-3</v>
      </c>
      <c r="AQ45" s="520"/>
      <c r="AR45" s="653">
        <f>IF(AR47=0,"",AR46/AR47)</f>
        <v>0.93514330730356054</v>
      </c>
      <c r="AS45" s="332">
        <f>IF(AR45&gt;=0.9,3,IF(AR45&gt;=0.8,1.5,0))</f>
        <v>3</v>
      </c>
      <c r="AT45" s="653">
        <f>IF(AT47=0,"",AT46/AT47)</f>
        <v>0.96148281967721305</v>
      </c>
      <c r="AU45" s="332">
        <f>IF(AT45&gt;=0.9,3,IF(AT45&gt;=0.8,1.5,0))</f>
        <v>3</v>
      </c>
      <c r="AV45" s="323">
        <f t="shared" si="7"/>
        <v>2.8166284427144417E-2</v>
      </c>
      <c r="AW45" s="520"/>
      <c r="AX45" s="653">
        <f>IF(AX47=0,"",AX46/AX47)</f>
        <v>0.91033675002810632</v>
      </c>
      <c r="AY45" s="332">
        <f>IF(AX45&gt;=0.9,3,IF(AX45&gt;=0.8,1.5,0))</f>
        <v>3</v>
      </c>
      <c r="AZ45" s="653">
        <f>IF(AZ47=0,"",AZ46/AZ47)</f>
        <v>0.95338319506708236</v>
      </c>
      <c r="BA45" s="332">
        <f>IF(AZ45&gt;=0.9,3,IF(AZ45&gt;=0.8,1.5,0))</f>
        <v>3</v>
      </c>
      <c r="BB45" s="323">
        <f t="shared" si="8"/>
        <v>4.7286287231232738E-2</v>
      </c>
      <c r="BC45" s="520"/>
      <c r="BD45" s="653">
        <f>IF(BD47=0,"",BD46/BD47)</f>
        <v>0.91809948148739007</v>
      </c>
      <c r="BE45" s="332">
        <f>IF(BD45&gt;=0.9,3,IF(BD45&gt;=0.8,1.5,0))</f>
        <v>3</v>
      </c>
      <c r="BF45" s="653">
        <f>IF(BF47=0,"",BF46/BF47)</f>
        <v>0.92490706593524252</v>
      </c>
      <c r="BG45" s="332">
        <f>IF(BF45&gt;=0.9,3,IF(BF45&gt;=0.8,1.5,0))</f>
        <v>3</v>
      </c>
      <c r="BH45" s="323">
        <f t="shared" si="9"/>
        <v>7.4148658017143543E-3</v>
      </c>
      <c r="BI45" s="520"/>
      <c r="BJ45" s="653">
        <f>IF(BJ47=0,"",BJ46/BJ47)</f>
        <v>0.92861543052122442</v>
      </c>
      <c r="BK45" s="332">
        <f>IF(BJ45&gt;=0.9,3,IF(BJ45&gt;=0.8,1.5,0))</f>
        <v>3</v>
      </c>
      <c r="BL45" s="653">
        <f>IF(BL47=0,"",BL46/BL47)</f>
        <v>0.93252375974910662</v>
      </c>
      <c r="BM45" s="332">
        <f>IF(BL45&gt;=0.9,3,IF(BL45&gt;=0.8,1.5,0))</f>
        <v>3</v>
      </c>
      <c r="BN45" s="323">
        <f t="shared" si="10"/>
        <v>4.2087704979105744E-3</v>
      </c>
      <c r="BO45" s="520"/>
      <c r="BP45" s="653">
        <f>IF(BP47=0,"",BP46/BP47)</f>
        <v>0.82010243450176556</v>
      </c>
      <c r="BQ45" s="332">
        <f>IF(BP45&gt;=0.9,3,IF(BP45&gt;=0.8,1.5,0))</f>
        <v>1.5</v>
      </c>
      <c r="BR45" s="653">
        <f>IF(BR47=0,"",BR46/BR47)</f>
        <v>0.85387881776829422</v>
      </c>
      <c r="BS45" s="332">
        <f>IF(BR45&gt;=0.9,3,IF(BR45&gt;=0.8,1.5,0))</f>
        <v>1.5</v>
      </c>
      <c r="BT45" s="323">
        <f t="shared" si="11"/>
        <v>4.1185566394579487E-2</v>
      </c>
      <c r="BU45" s="520"/>
      <c r="BV45" s="653">
        <f>IF(BV47=0,"",BV46/BV47)</f>
        <v>0.88419121434251791</v>
      </c>
      <c r="BW45" s="332">
        <f>IF(BV45&gt;=0.9,3,IF(BV45&gt;=0.8,1.5,0))</f>
        <v>1.5</v>
      </c>
      <c r="BX45" s="653">
        <f>IF(BX47=0,"",BX46/BX47)</f>
        <v>0.95184240172504231</v>
      </c>
      <c r="BY45" s="332">
        <f>IF(BX45&gt;=0.9,3,IF(BX45&gt;=0.8,1.5,0))</f>
        <v>3</v>
      </c>
      <c r="BZ45" s="323">
        <f t="shared" si="12"/>
        <v>7.6511942535902211E-2</v>
      </c>
      <c r="CA45" s="315"/>
      <c r="CD45" s="531" t="s">
        <v>1826</v>
      </c>
      <c r="CE45" s="531">
        <v>0</v>
      </c>
      <c r="CF45" s="532">
        <f t="shared" si="49"/>
        <v>2.85</v>
      </c>
      <c r="CG45" s="531">
        <v>1</v>
      </c>
      <c r="CH45" s="533">
        <v>2.85</v>
      </c>
      <c r="CI45" s="531">
        <v>0</v>
      </c>
      <c r="CJ45" s="532">
        <f t="shared" si="45"/>
        <v>2.85</v>
      </c>
      <c r="CK45" s="531">
        <v>1</v>
      </c>
      <c r="CL45" s="533">
        <v>3</v>
      </c>
      <c r="CM45" s="531">
        <v>1</v>
      </c>
      <c r="CN45" s="533">
        <v>3</v>
      </c>
      <c r="CO45" s="531">
        <v>1</v>
      </c>
      <c r="CP45" s="533">
        <v>3</v>
      </c>
      <c r="CQ45" s="531">
        <v>0</v>
      </c>
      <c r="CR45" s="532">
        <f t="shared" si="43"/>
        <v>2.85</v>
      </c>
      <c r="CS45" s="531">
        <f t="shared" si="26"/>
        <v>21.55</v>
      </c>
      <c r="CT45" s="313"/>
      <c r="CU45" s="313"/>
      <c r="CV45" s="313"/>
      <c r="CW45" s="313"/>
      <c r="CX45" s="313"/>
      <c r="CY45" s="313"/>
      <c r="CZ45" s="313"/>
      <c r="DA45" s="313"/>
      <c r="DB45" s="313"/>
      <c r="DC45" s="313"/>
    </row>
    <row r="46" spans="1:107" s="2" customFormat="1" ht="14.25">
      <c r="A46" s="1554"/>
      <c r="B46" s="1556"/>
      <c r="C46" s="638">
        <v>23.1</v>
      </c>
      <c r="D46" s="325" t="s">
        <v>1275</v>
      </c>
      <c r="E46" s="492" t="s">
        <v>1276</v>
      </c>
      <c r="F46" s="440" t="s">
        <v>1827</v>
      </c>
      <c r="G46" s="625"/>
      <c r="H46" s="334"/>
      <c r="I46" s="623"/>
      <c r="J46" s="658">
        <f t="shared" si="40"/>
        <v>48457918.899999999</v>
      </c>
      <c r="K46" s="664"/>
      <c r="L46" s="658">
        <f t="shared" si="41"/>
        <v>49728916.359000005</v>
      </c>
      <c r="M46" s="511"/>
      <c r="N46" s="512">
        <f t="shared" si="22"/>
        <v>0</v>
      </c>
      <c r="O46" s="510">
        <f t="shared" si="42"/>
        <v>0</v>
      </c>
      <c r="P46" s="510">
        <f t="shared" si="23"/>
        <v>0</v>
      </c>
      <c r="Q46" s="833">
        <f t="shared" si="24"/>
        <v>0</v>
      </c>
      <c r="R46" s="832">
        <f t="shared" si="25"/>
        <v>0</v>
      </c>
      <c r="S46" s="520"/>
      <c r="T46" s="338">
        <v>27288096.999999996</v>
      </c>
      <c r="U46" s="322"/>
      <c r="V46" s="338">
        <v>23204917</v>
      </c>
      <c r="W46" s="322"/>
      <c r="X46" s="323">
        <f t="shared" si="3"/>
        <v>-0.14963227373458832</v>
      </c>
      <c r="Y46" s="520"/>
      <c r="Z46" s="338">
        <v>67575098.999999985</v>
      </c>
      <c r="AA46" s="322"/>
      <c r="AB46" s="338">
        <v>71008250</v>
      </c>
      <c r="AC46" s="322"/>
      <c r="AD46" s="323">
        <f t="shared" si="4"/>
        <v>5.0804971813656064E-2</v>
      </c>
      <c r="AE46" s="520"/>
      <c r="AF46" s="338">
        <v>99759559.000000015</v>
      </c>
      <c r="AG46" s="322"/>
      <c r="AH46" s="338">
        <v>96293019</v>
      </c>
      <c r="AI46" s="322"/>
      <c r="AJ46" s="323">
        <f t="shared" si="5"/>
        <v>-3.4748950724611927E-2</v>
      </c>
      <c r="AK46" s="520"/>
      <c r="AL46" s="338">
        <v>20551322</v>
      </c>
      <c r="AM46" s="322"/>
      <c r="AN46" s="338">
        <v>22049501.999999996</v>
      </c>
      <c r="AO46" s="322"/>
      <c r="AP46" s="323">
        <f t="shared" si="6"/>
        <v>7.2899446566016435E-2</v>
      </c>
      <c r="AQ46" s="520"/>
      <c r="AR46" s="338">
        <v>87920165.999999985</v>
      </c>
      <c r="AS46" s="322"/>
      <c r="AT46" s="338">
        <v>87650692</v>
      </c>
      <c r="AU46" s="322"/>
      <c r="AV46" s="323">
        <f t="shared" si="7"/>
        <v>-3.0649851138814244E-3</v>
      </c>
      <c r="AW46" s="520"/>
      <c r="AX46" s="338">
        <v>79401849</v>
      </c>
      <c r="AY46" s="322"/>
      <c r="AZ46" s="338">
        <v>91797195.000000015</v>
      </c>
      <c r="BA46" s="322"/>
      <c r="BB46" s="323">
        <f t="shared" si="8"/>
        <v>0.15610903469011173</v>
      </c>
      <c r="BC46" s="520"/>
      <c r="BD46" s="338">
        <v>16183300.999999998</v>
      </c>
      <c r="BE46" s="322"/>
      <c r="BF46" s="338">
        <v>17579482</v>
      </c>
      <c r="BG46" s="322"/>
      <c r="BH46" s="323">
        <f t="shared" si="9"/>
        <v>8.62729427080422E-2</v>
      </c>
      <c r="BI46" s="520"/>
      <c r="BJ46" s="338">
        <v>55134098</v>
      </c>
      <c r="BK46" s="322"/>
      <c r="BL46" s="338">
        <v>56697140.589999996</v>
      </c>
      <c r="BM46" s="322"/>
      <c r="BN46" s="323">
        <f t="shared" si="10"/>
        <v>2.834983516008549E-2</v>
      </c>
      <c r="BO46" s="520"/>
      <c r="BP46" s="338">
        <v>11882195.999999998</v>
      </c>
      <c r="BQ46" s="322"/>
      <c r="BR46" s="338">
        <v>11501588</v>
      </c>
      <c r="BS46" s="322"/>
      <c r="BT46" s="323">
        <f t="shared" si="11"/>
        <v>-3.2031789409970868E-2</v>
      </c>
      <c r="BU46" s="520"/>
      <c r="BV46" s="338">
        <v>18883502</v>
      </c>
      <c r="BW46" s="322"/>
      <c r="BX46" s="338">
        <v>19507378</v>
      </c>
      <c r="BY46" s="322"/>
      <c r="BZ46" s="323">
        <f t="shared" si="12"/>
        <v>3.3038151503889557E-2</v>
      </c>
      <c r="CA46" s="315"/>
      <c r="CD46" s="531"/>
      <c r="CE46" s="531">
        <v>0</v>
      </c>
      <c r="CF46" s="532">
        <f t="shared" si="49"/>
        <v>0</v>
      </c>
      <c r="CG46" s="531">
        <v>0</v>
      </c>
      <c r="CH46" s="532">
        <f t="shared" ref="CH46:CH51" si="50">$M46</f>
        <v>0</v>
      </c>
      <c r="CI46" s="531">
        <v>0</v>
      </c>
      <c r="CJ46" s="532">
        <f t="shared" si="45"/>
        <v>0</v>
      </c>
      <c r="CK46" s="531">
        <v>0</v>
      </c>
      <c r="CL46" s="532">
        <f t="shared" ref="CL46:CL51" si="51">$M46</f>
        <v>0</v>
      </c>
      <c r="CM46" s="531">
        <v>0</v>
      </c>
      <c r="CN46" s="532">
        <f t="shared" ref="CN46:CN51" si="52">$M46</f>
        <v>0</v>
      </c>
      <c r="CO46" s="531">
        <v>0</v>
      </c>
      <c r="CP46" s="532">
        <f t="shared" ref="CP46:CP51" si="53">$M46</f>
        <v>0</v>
      </c>
      <c r="CQ46" s="531">
        <v>0</v>
      </c>
      <c r="CR46" s="532">
        <f t="shared" si="43"/>
        <v>0</v>
      </c>
      <c r="CS46" s="531">
        <f t="shared" si="26"/>
        <v>0</v>
      </c>
      <c r="CT46" s="313"/>
      <c r="CU46" s="313"/>
      <c r="CV46" s="313"/>
      <c r="CW46" s="313"/>
      <c r="CX46" s="313"/>
      <c r="CY46" s="313"/>
      <c r="CZ46" s="313"/>
      <c r="DA46" s="313"/>
      <c r="DB46" s="313"/>
      <c r="DC46" s="313"/>
    </row>
    <row r="47" spans="1:107" s="2" customFormat="1" ht="14.25">
      <c r="A47" s="1554"/>
      <c r="B47" s="1556"/>
      <c r="C47" s="638">
        <v>23.2</v>
      </c>
      <c r="D47" s="325" t="s">
        <v>1277</v>
      </c>
      <c r="E47" s="492" t="s">
        <v>1276</v>
      </c>
      <c r="F47" s="440" t="s">
        <v>1828</v>
      </c>
      <c r="G47" s="625"/>
      <c r="H47" s="334"/>
      <c r="I47" s="623"/>
      <c r="J47" s="658">
        <f t="shared" si="40"/>
        <v>52604066.600000001</v>
      </c>
      <c r="K47" s="664"/>
      <c r="L47" s="658">
        <f t="shared" si="41"/>
        <v>52442763.299999997</v>
      </c>
      <c r="M47" s="511"/>
      <c r="N47" s="512">
        <f t="shared" si="22"/>
        <v>0</v>
      </c>
      <c r="O47" s="510">
        <f t="shared" si="42"/>
        <v>0</v>
      </c>
      <c r="P47" s="510">
        <f t="shared" si="23"/>
        <v>0</v>
      </c>
      <c r="Q47" s="833">
        <f t="shared" si="24"/>
        <v>0</v>
      </c>
      <c r="R47" s="832">
        <f t="shared" si="25"/>
        <v>0</v>
      </c>
      <c r="S47" s="520"/>
      <c r="T47" s="338">
        <v>28019266.000000004</v>
      </c>
      <c r="U47" s="322"/>
      <c r="V47" s="338">
        <v>23575755.000000004</v>
      </c>
      <c r="W47" s="322"/>
      <c r="X47" s="323">
        <f t="shared" si="3"/>
        <v>-0.15858770176206616</v>
      </c>
      <c r="Y47" s="520"/>
      <c r="Z47" s="338">
        <v>72209890</v>
      </c>
      <c r="AA47" s="322"/>
      <c r="AB47" s="338">
        <v>74140847</v>
      </c>
      <c r="AC47" s="322"/>
      <c r="AD47" s="323">
        <f t="shared" si="4"/>
        <v>2.6740893802774002E-2</v>
      </c>
      <c r="AE47" s="520"/>
      <c r="AF47" s="338">
        <v>109952977.99999999</v>
      </c>
      <c r="AG47" s="322"/>
      <c r="AH47" s="338">
        <v>102098523</v>
      </c>
      <c r="AI47" s="322"/>
      <c r="AJ47" s="323">
        <f t="shared" si="5"/>
        <v>-7.1434672738013405E-2</v>
      </c>
      <c r="AK47" s="520"/>
      <c r="AL47" s="338">
        <v>21773368.999999996</v>
      </c>
      <c r="AM47" s="322"/>
      <c r="AN47" s="338">
        <v>23394207</v>
      </c>
      <c r="AO47" s="322"/>
      <c r="AP47" s="323">
        <f t="shared" si="6"/>
        <v>7.4441304880287662E-2</v>
      </c>
      <c r="AQ47" s="520"/>
      <c r="AR47" s="338">
        <v>94017853</v>
      </c>
      <c r="AS47" s="322"/>
      <c r="AT47" s="338">
        <v>91161995</v>
      </c>
      <c r="AU47" s="322"/>
      <c r="AV47" s="323">
        <f t="shared" si="7"/>
        <v>-3.037569896432335E-2</v>
      </c>
      <c r="AW47" s="520"/>
      <c r="AX47" s="338">
        <v>87222502</v>
      </c>
      <c r="AY47" s="322"/>
      <c r="AZ47" s="338">
        <v>96285727.999999985</v>
      </c>
      <c r="BA47" s="322"/>
      <c r="BB47" s="323">
        <f t="shared" si="8"/>
        <v>0.10390926414837298</v>
      </c>
      <c r="BC47" s="520"/>
      <c r="BD47" s="338">
        <v>17626957.999999996</v>
      </c>
      <c r="BE47" s="322"/>
      <c r="BF47" s="338">
        <v>19006755</v>
      </c>
      <c r="BG47" s="322"/>
      <c r="BH47" s="323">
        <f t="shared" si="9"/>
        <v>7.8277658572738718E-2</v>
      </c>
      <c r="BI47" s="520"/>
      <c r="BJ47" s="338">
        <v>59372369</v>
      </c>
      <c r="BK47" s="322"/>
      <c r="BL47" s="338">
        <v>60799673.999999993</v>
      </c>
      <c r="BM47" s="322"/>
      <c r="BN47" s="323">
        <f t="shared" si="10"/>
        <v>2.4039886297950952E-2</v>
      </c>
      <c r="BO47" s="520"/>
      <c r="BP47" s="338">
        <v>14488672.999999998</v>
      </c>
      <c r="BQ47" s="322"/>
      <c r="BR47" s="338">
        <v>13469813</v>
      </c>
      <c r="BS47" s="322"/>
      <c r="BT47" s="323">
        <f t="shared" si="11"/>
        <v>-7.0321139831094115E-2</v>
      </c>
      <c r="BU47" s="520"/>
      <c r="BV47" s="338">
        <v>21356808</v>
      </c>
      <c r="BW47" s="322"/>
      <c r="BX47" s="338">
        <v>20494336.000000004</v>
      </c>
      <c r="BY47" s="322"/>
      <c r="BZ47" s="323">
        <f t="shared" si="12"/>
        <v>-4.0383937524746005E-2</v>
      </c>
      <c r="CA47" s="315"/>
      <c r="CD47" s="531"/>
      <c r="CE47" s="531">
        <v>0</v>
      </c>
      <c r="CF47" s="532">
        <f t="shared" si="49"/>
        <v>0</v>
      </c>
      <c r="CG47" s="531">
        <v>0</v>
      </c>
      <c r="CH47" s="532">
        <f t="shared" si="50"/>
        <v>0</v>
      </c>
      <c r="CI47" s="531">
        <v>0</v>
      </c>
      <c r="CJ47" s="532">
        <f t="shared" si="45"/>
        <v>0</v>
      </c>
      <c r="CK47" s="531">
        <v>0</v>
      </c>
      <c r="CL47" s="532">
        <f t="shared" si="51"/>
        <v>0</v>
      </c>
      <c r="CM47" s="531">
        <v>0</v>
      </c>
      <c r="CN47" s="532">
        <f t="shared" si="52"/>
        <v>0</v>
      </c>
      <c r="CO47" s="531">
        <v>0</v>
      </c>
      <c r="CP47" s="532">
        <f t="shared" si="53"/>
        <v>0</v>
      </c>
      <c r="CQ47" s="531">
        <v>0</v>
      </c>
      <c r="CR47" s="532">
        <f t="shared" si="43"/>
        <v>0</v>
      </c>
      <c r="CS47" s="531">
        <f t="shared" si="26"/>
        <v>0</v>
      </c>
      <c r="CT47" s="313"/>
      <c r="CU47" s="313"/>
      <c r="CV47" s="313"/>
      <c r="CW47" s="313"/>
      <c r="CX47" s="313"/>
      <c r="CY47" s="313"/>
      <c r="CZ47" s="313"/>
      <c r="DA47" s="313"/>
      <c r="DB47" s="313"/>
      <c r="DC47" s="313"/>
    </row>
    <row r="48" spans="1:107" s="2" customFormat="1" ht="14.25">
      <c r="A48" s="1553" t="s">
        <v>1279</v>
      </c>
      <c r="B48" s="1555" t="s">
        <v>1280</v>
      </c>
      <c r="C48" s="23">
        <v>24</v>
      </c>
      <c r="D48" s="329" t="s">
        <v>1278</v>
      </c>
      <c r="E48" s="494"/>
      <c r="F48" s="623"/>
      <c r="G48" s="623" t="s">
        <v>484</v>
      </c>
      <c r="H48" s="334" t="s">
        <v>285</v>
      </c>
      <c r="I48" s="624">
        <v>2</v>
      </c>
      <c r="J48" s="657">
        <f t="shared" si="40"/>
        <v>0.99885644515702288</v>
      </c>
      <c r="K48" s="664">
        <f>AVERAGE(BW48,BQ48,BK48,BE48,AY48,AS48,AM48,AG48,AA48,U48)</f>
        <v>2</v>
      </c>
      <c r="L48" s="657">
        <f t="shared" si="41"/>
        <v>0.99855825848395541</v>
      </c>
      <c r="M48" s="511">
        <f>AVERAGE(BY48,BS48,BM48,BG48,BA48,AU48,AO48,AI48,AC48,W48)</f>
        <v>2</v>
      </c>
      <c r="N48" s="512">
        <f t="shared" si="22"/>
        <v>0</v>
      </c>
      <c r="O48" s="510">
        <f t="shared" si="42"/>
        <v>0</v>
      </c>
      <c r="P48" s="510">
        <f t="shared" si="23"/>
        <v>0</v>
      </c>
      <c r="Q48" s="833">
        <f t="shared" si="24"/>
        <v>0</v>
      </c>
      <c r="R48" s="832">
        <f t="shared" si="25"/>
        <v>0</v>
      </c>
      <c r="S48" s="520"/>
      <c r="T48" s="653">
        <f>IF(SUM(T50:T51)=0,"",T49/SUM(T50:T51))</f>
        <v>1</v>
      </c>
      <c r="U48" s="332">
        <f>IF(T48&gt;=0.95,2,IF(T48&gt;=0.9,1,0))</f>
        <v>2</v>
      </c>
      <c r="V48" s="653">
        <f>IF(SUM(V50:V51)=0,"",V49/SUM(V50:V51))</f>
        <v>0.99897119341563789</v>
      </c>
      <c r="W48" s="332">
        <f>IF(V48&gt;=0.95,2,IF(V48&gt;=0.9,1,0))</f>
        <v>2</v>
      </c>
      <c r="X48" s="323">
        <f t="shared" si="3"/>
        <v>-1.0288065843621075E-3</v>
      </c>
      <c r="Y48" s="520"/>
      <c r="Z48" s="653">
        <f>IF(SUM(Z50:Z51)=0,"",Z49/SUM(Z50:Z51))</f>
        <v>0.99577910657755897</v>
      </c>
      <c r="AA48" s="332">
        <f>IF(Z48&gt;=0.95,2,IF(Z48&gt;=0.9,1,0))</f>
        <v>2</v>
      </c>
      <c r="AB48" s="653">
        <f>IF(SUM(AB50:AB51)=0,"",AB49/SUM(AB50:AB51))</f>
        <v>0.99965229485396379</v>
      </c>
      <c r="AC48" s="332">
        <f>IF(AB48&gt;=0.95,2,IF(AB48&gt;=0.9,1,0))</f>
        <v>2</v>
      </c>
      <c r="AD48" s="323">
        <f t="shared" si="4"/>
        <v>3.8896058883146623E-3</v>
      </c>
      <c r="AE48" s="520"/>
      <c r="AF48" s="653">
        <f>IF(SUM(AF50:AF51)=0,"",AF49/SUM(AF50:AF51))</f>
        <v>0.99929560929795724</v>
      </c>
      <c r="AG48" s="332">
        <f>IF(AF48&gt;=0.95,2,IF(AF48&gt;=0.9,1,0))</f>
        <v>2</v>
      </c>
      <c r="AH48" s="653">
        <f>IF(SUM(AH50:AH51)=0,"",AH49/SUM(AH50:AH51))</f>
        <v>0.99903799903799906</v>
      </c>
      <c r="AI48" s="332">
        <f>IF(AH48&gt;=0.95,2,IF(AH48&gt;=0.9,1,0))</f>
        <v>2</v>
      </c>
      <c r="AJ48" s="323">
        <f t="shared" si="5"/>
        <v>-2.5779184613772266E-4</v>
      </c>
      <c r="AK48" s="520"/>
      <c r="AL48" s="653">
        <f>IF(SUM(AL50:AL51)=0,"",AL49/SUM(AL50:AL51))</f>
        <v>0.99932386747802571</v>
      </c>
      <c r="AM48" s="332">
        <f>IF(AL48&gt;=0.95,2,IF(AL48&gt;=0.9,1,0))</f>
        <v>2</v>
      </c>
      <c r="AN48" s="653">
        <f>IF(SUM(AN50:AN51)=0,"",AN49/SUM(AN50:AN51))</f>
        <v>0.99932432432432428</v>
      </c>
      <c r="AO48" s="332">
        <f>IF(AN48&gt;=0.95,2,IF(AN48&gt;=0.9,1,0))</f>
        <v>2</v>
      </c>
      <c r="AP48" s="323">
        <f t="shared" si="6"/>
        <v>4.5715539620516665E-7</v>
      </c>
      <c r="AQ48" s="520"/>
      <c r="AR48" s="653">
        <f>IF(SUM(AR50:AR51)=0,"",AR49/SUM(AR50:AR51))</f>
        <v>0.99823269513991164</v>
      </c>
      <c r="AS48" s="332">
        <f>IF(AR48&gt;=0.95,2,IF(AR48&gt;=0.9,1,0))</f>
        <v>2</v>
      </c>
      <c r="AT48" s="653">
        <f>IF(SUM(AT50:AT51)=0,"",AT49/SUM(AT50:AT51))</f>
        <v>0.99916247906197653</v>
      </c>
      <c r="AU48" s="332">
        <f>IF(AT48&gt;=0.95,2,IF(AT48&gt;=0.9,1,0))</f>
        <v>2</v>
      </c>
      <c r="AV48" s="323">
        <f t="shared" si="7"/>
        <v>9.3143004290663356E-4</v>
      </c>
      <c r="AW48" s="520"/>
      <c r="AX48" s="653">
        <f>IF(SUM(AX50:AX51)=0,"",AX49/SUM(AX50:AX51))</f>
        <v>0.99914236706689541</v>
      </c>
      <c r="AY48" s="332">
        <f>IF(AX48&gt;=0.95,2,IF(AX48&gt;=0.9,1,0))</f>
        <v>2</v>
      </c>
      <c r="AZ48" s="653">
        <f>IF(SUM(AZ50:AZ51)=0,"",AZ49/SUM(AZ50:AZ51))</f>
        <v>0.99867162592986181</v>
      </c>
      <c r="BA48" s="332">
        <f>IF(AZ48&gt;=0.95,2,IF(AZ48&gt;=0.9,1,0))</f>
        <v>2</v>
      </c>
      <c r="BB48" s="323">
        <f t="shared" si="8"/>
        <v>-4.7114520667912441E-4</v>
      </c>
      <c r="BC48" s="520"/>
      <c r="BD48" s="653">
        <f>IF(SUM(BD50:BD51)=0,"",BD49/SUM(BD50:BD51))</f>
        <v>0.99851851851851847</v>
      </c>
      <c r="BE48" s="332">
        <f>IF(BD48&gt;=0.95,2,IF(BD48&gt;=0.9,1,0))</f>
        <v>2</v>
      </c>
      <c r="BF48" s="653">
        <f>IF(SUM(BF50:BF51)=0,"",BF49/SUM(BF50:BF51))</f>
        <v>0.99662542182227221</v>
      </c>
      <c r="BG48" s="332">
        <f>IF(BF48&gt;=0.95,2,IF(BF48&gt;=0.9,1,0))</f>
        <v>2</v>
      </c>
      <c r="BH48" s="323">
        <f t="shared" si="9"/>
        <v>-1.8959054450538027E-3</v>
      </c>
      <c r="BI48" s="520"/>
      <c r="BJ48" s="653">
        <f>IF(SUM(BJ50:BJ51)=0,"",BJ49/SUM(BJ50:BJ51))</f>
        <v>0.99827228749136143</v>
      </c>
      <c r="BK48" s="332">
        <f>IF(BJ48&gt;=0.95,2,IF(BJ48&gt;=0.9,1,0))</f>
        <v>2</v>
      </c>
      <c r="BL48" s="653">
        <f>IF(SUM(BL50:BL51)=0,"",BL49/SUM(BL50:BL51))</f>
        <v>0.99928469241773965</v>
      </c>
      <c r="BM48" s="332">
        <f>IF(BL48&gt;=0.95,2,IF(BL48&gt;=0.9,1,0))</f>
        <v>2</v>
      </c>
      <c r="BN48" s="323">
        <f t="shared" si="10"/>
        <v>1.0141570982826753E-3</v>
      </c>
      <c r="BO48" s="520"/>
      <c r="BP48" s="653">
        <f>IF(SUM(BP50:BP51)=0,"",BP49/SUM(BP50:BP51))</f>
        <v>1</v>
      </c>
      <c r="BQ48" s="332">
        <f>IF(BP48&gt;=0.95,2,IF(BP48&gt;=0.9,1,0))</f>
        <v>2</v>
      </c>
      <c r="BR48" s="653">
        <f>IF(SUM(BR50:BR51)=0,"",BR49/SUM(BR50:BR51))</f>
        <v>0.99722222222222223</v>
      </c>
      <c r="BS48" s="332">
        <f>IF(BR48&gt;=0.95,2,IF(BR48&gt;=0.9,1,0))</f>
        <v>2</v>
      </c>
      <c r="BT48" s="323">
        <f t="shared" si="11"/>
        <v>-2.7777777777777679E-3</v>
      </c>
      <c r="BU48" s="520"/>
      <c r="BV48" s="653">
        <f>IF(SUM(BV50:BV51)=0,"",BV49/SUM(BV50:BV51))</f>
        <v>1</v>
      </c>
      <c r="BW48" s="332">
        <f>IF(BV48&gt;=0.95,2,IF(BV48&gt;=0.9,1,0))</f>
        <v>2</v>
      </c>
      <c r="BX48" s="653">
        <f>IF(SUM(BX50:BX51)=0,"",BX49/SUM(BX50:BX51))</f>
        <v>0.99763033175355453</v>
      </c>
      <c r="BY48" s="332">
        <f>IF(BX48&gt;=0.95,2,IF(BX48&gt;=0.9,1,0))</f>
        <v>2</v>
      </c>
      <c r="BZ48" s="323">
        <f t="shared" si="12"/>
        <v>-2.3696682464454666E-3</v>
      </c>
      <c r="CA48" s="315"/>
      <c r="CD48" s="531"/>
      <c r="CE48" s="531">
        <v>1</v>
      </c>
      <c r="CF48" s="532">
        <f t="shared" si="49"/>
        <v>2</v>
      </c>
      <c r="CG48" s="531">
        <v>0</v>
      </c>
      <c r="CH48" s="532">
        <f t="shared" si="50"/>
        <v>2</v>
      </c>
      <c r="CI48" s="531">
        <v>0</v>
      </c>
      <c r="CJ48" s="532">
        <f t="shared" si="45"/>
        <v>2</v>
      </c>
      <c r="CK48" s="531">
        <v>0</v>
      </c>
      <c r="CL48" s="532">
        <f t="shared" si="51"/>
        <v>2</v>
      </c>
      <c r="CM48" s="531">
        <v>0</v>
      </c>
      <c r="CN48" s="532">
        <f t="shared" si="52"/>
        <v>2</v>
      </c>
      <c r="CO48" s="531">
        <v>0</v>
      </c>
      <c r="CP48" s="532">
        <f t="shared" si="53"/>
        <v>2</v>
      </c>
      <c r="CQ48" s="531">
        <v>0</v>
      </c>
      <c r="CR48" s="532">
        <f t="shared" si="43"/>
        <v>2</v>
      </c>
      <c r="CS48" s="531">
        <f t="shared" si="26"/>
        <v>13</v>
      </c>
      <c r="CT48" s="313"/>
      <c r="CU48" s="313"/>
      <c r="CV48" s="313"/>
      <c r="CW48" s="313"/>
      <c r="CX48" s="313"/>
      <c r="CY48" s="313"/>
      <c r="CZ48" s="313"/>
      <c r="DA48" s="313"/>
      <c r="DB48" s="313"/>
      <c r="DC48" s="313"/>
    </row>
    <row r="49" spans="1:107" s="2" customFormat="1" ht="14.25">
      <c r="A49" s="1553"/>
      <c r="B49" s="1556"/>
      <c r="C49" s="638">
        <v>24.1</v>
      </c>
      <c r="D49" s="325" t="s">
        <v>1281</v>
      </c>
      <c r="E49" s="492" t="s">
        <v>1241</v>
      </c>
      <c r="F49" s="339" t="s">
        <v>1282</v>
      </c>
      <c r="G49" s="625"/>
      <c r="H49" s="334"/>
      <c r="I49" s="625"/>
      <c r="J49" s="658">
        <f t="shared" si="40"/>
        <v>2184.8000000000002</v>
      </c>
      <c r="K49" s="664"/>
      <c r="L49" s="658">
        <f t="shared" si="41"/>
        <v>2205.6999999999998</v>
      </c>
      <c r="M49" s="511"/>
      <c r="N49" s="512">
        <f t="shared" si="22"/>
        <v>0</v>
      </c>
      <c r="O49" s="510">
        <f t="shared" si="42"/>
        <v>0</v>
      </c>
      <c r="P49" s="510">
        <f t="shared" si="23"/>
        <v>0</v>
      </c>
      <c r="Q49" s="833">
        <f t="shared" si="24"/>
        <v>0</v>
      </c>
      <c r="R49" s="832">
        <f t="shared" si="25"/>
        <v>0</v>
      </c>
      <c r="S49" s="520"/>
      <c r="T49" s="330">
        <v>1028</v>
      </c>
      <c r="U49" s="623"/>
      <c r="V49" s="330">
        <v>971</v>
      </c>
      <c r="W49" s="623"/>
      <c r="X49" s="382">
        <f t="shared" si="3"/>
        <v>-5.5447470817120648E-2</v>
      </c>
      <c r="Y49" s="520"/>
      <c r="Z49" s="330">
        <v>2831</v>
      </c>
      <c r="AA49" s="623"/>
      <c r="AB49" s="330">
        <v>2875</v>
      </c>
      <c r="AC49" s="623"/>
      <c r="AD49" s="323">
        <f t="shared" si="4"/>
        <v>1.5542211232779879E-2</v>
      </c>
      <c r="AE49" s="520"/>
      <c r="AF49" s="638">
        <v>4256</v>
      </c>
      <c r="AG49" s="623"/>
      <c r="AH49" s="638">
        <v>4154</v>
      </c>
      <c r="AI49" s="623"/>
      <c r="AJ49" s="323">
        <f t="shared" si="5"/>
        <v>-2.3966165413533802E-2</v>
      </c>
      <c r="AK49" s="520"/>
      <c r="AL49" s="638">
        <v>1478</v>
      </c>
      <c r="AM49" s="623"/>
      <c r="AN49" s="638">
        <v>1479</v>
      </c>
      <c r="AO49" s="623"/>
      <c r="AP49" s="323">
        <f t="shared" si="6"/>
        <v>6.7658998646824564E-4</v>
      </c>
      <c r="AQ49" s="520"/>
      <c r="AR49" s="338">
        <v>3389</v>
      </c>
      <c r="AS49" s="623"/>
      <c r="AT49" s="338">
        <v>3579</v>
      </c>
      <c r="AU49" s="623"/>
      <c r="AV49" s="323">
        <f t="shared" si="7"/>
        <v>5.6063735615225818E-2</v>
      </c>
      <c r="AW49" s="520"/>
      <c r="AX49" s="638">
        <v>3495</v>
      </c>
      <c r="AY49" s="623"/>
      <c r="AZ49" s="638">
        <v>3759</v>
      </c>
      <c r="BA49" s="623"/>
      <c r="BB49" s="323">
        <f t="shared" si="8"/>
        <v>7.5536480686695384E-2</v>
      </c>
      <c r="BC49" s="520"/>
      <c r="BD49" s="638">
        <v>674</v>
      </c>
      <c r="BE49" s="623"/>
      <c r="BF49" s="638">
        <v>886</v>
      </c>
      <c r="BG49" s="623"/>
      <c r="BH49" s="323">
        <f t="shared" si="9"/>
        <v>0.31454005934718099</v>
      </c>
      <c r="BI49" s="520"/>
      <c r="BJ49" s="638">
        <v>2889</v>
      </c>
      <c r="BK49" s="623"/>
      <c r="BL49" s="638">
        <v>2794</v>
      </c>
      <c r="BM49" s="623"/>
      <c r="BN49" s="323">
        <f t="shared" si="10"/>
        <v>-3.2883350640359965E-2</v>
      </c>
      <c r="BO49" s="520"/>
      <c r="BP49" s="638">
        <v>785</v>
      </c>
      <c r="BQ49" s="623"/>
      <c r="BR49" s="638">
        <v>718</v>
      </c>
      <c r="BS49" s="623"/>
      <c r="BT49" s="323">
        <f t="shared" si="11"/>
        <v>-8.5350318471337561E-2</v>
      </c>
      <c r="BU49" s="520"/>
      <c r="BV49" s="638">
        <v>1023</v>
      </c>
      <c r="BW49" s="623"/>
      <c r="BX49" s="638">
        <v>842</v>
      </c>
      <c r="BY49" s="623"/>
      <c r="BZ49" s="323">
        <f t="shared" si="12"/>
        <v>-0.17693059628543495</v>
      </c>
      <c r="CA49" s="315"/>
      <c r="CD49" s="531"/>
      <c r="CE49" s="531">
        <v>0</v>
      </c>
      <c r="CF49" s="532">
        <f t="shared" si="49"/>
        <v>0</v>
      </c>
      <c r="CG49" s="531">
        <v>0</v>
      </c>
      <c r="CH49" s="532">
        <f t="shared" si="50"/>
        <v>0</v>
      </c>
      <c r="CI49" s="531">
        <v>0</v>
      </c>
      <c r="CJ49" s="532">
        <f t="shared" si="45"/>
        <v>0</v>
      </c>
      <c r="CK49" s="531">
        <v>0</v>
      </c>
      <c r="CL49" s="532">
        <f t="shared" si="51"/>
        <v>0</v>
      </c>
      <c r="CM49" s="531">
        <v>0</v>
      </c>
      <c r="CN49" s="532">
        <f t="shared" si="52"/>
        <v>0</v>
      </c>
      <c r="CO49" s="531">
        <v>0</v>
      </c>
      <c r="CP49" s="532">
        <f t="shared" si="53"/>
        <v>0</v>
      </c>
      <c r="CQ49" s="531">
        <v>0</v>
      </c>
      <c r="CR49" s="532">
        <f t="shared" si="43"/>
        <v>0</v>
      </c>
      <c r="CS49" s="531">
        <f t="shared" si="26"/>
        <v>0</v>
      </c>
      <c r="CT49" s="313"/>
      <c r="CU49" s="313"/>
      <c r="CV49" s="313"/>
      <c r="CW49" s="313"/>
      <c r="CX49" s="313"/>
      <c r="CY49" s="313"/>
      <c r="CZ49" s="313"/>
      <c r="DA49" s="313"/>
      <c r="DB49" s="313"/>
      <c r="DC49" s="313"/>
    </row>
    <row r="50" spans="1:107" s="2" customFormat="1" ht="14.25">
      <c r="A50" s="1553"/>
      <c r="B50" s="1556"/>
      <c r="C50" s="638">
        <v>24.2</v>
      </c>
      <c r="D50" s="325" t="s">
        <v>1283</v>
      </c>
      <c r="E50" s="492" t="s">
        <v>1241</v>
      </c>
      <c r="F50" s="339" t="s">
        <v>1282</v>
      </c>
      <c r="G50" s="625"/>
      <c r="H50" s="334"/>
      <c r="I50" s="625"/>
      <c r="J50" s="658">
        <f t="shared" si="40"/>
        <v>4.0999999999999996</v>
      </c>
      <c r="K50" s="664"/>
      <c r="L50" s="658">
        <f t="shared" si="41"/>
        <v>2.8</v>
      </c>
      <c r="M50" s="511"/>
      <c r="N50" s="512">
        <f t="shared" si="22"/>
        <v>0</v>
      </c>
      <c r="O50" s="510">
        <f t="shared" si="42"/>
        <v>0</v>
      </c>
      <c r="P50" s="510">
        <f t="shared" si="23"/>
        <v>0</v>
      </c>
      <c r="Q50" s="833">
        <f t="shared" si="24"/>
        <v>0</v>
      </c>
      <c r="R50" s="832">
        <f t="shared" si="25"/>
        <v>0</v>
      </c>
      <c r="S50" s="520"/>
      <c r="T50" s="330">
        <v>0</v>
      </c>
      <c r="U50" s="623"/>
      <c r="V50" s="330">
        <v>0</v>
      </c>
      <c r="W50" s="623"/>
      <c r="X50" s="323">
        <f t="shared" si="3"/>
        <v>0</v>
      </c>
      <c r="Y50" s="520"/>
      <c r="Z50" s="330">
        <v>10</v>
      </c>
      <c r="AA50" s="623"/>
      <c r="AB50" s="330">
        <v>12</v>
      </c>
      <c r="AC50" s="623"/>
      <c r="AD50" s="323">
        <f t="shared" si="4"/>
        <v>0.19999999999999996</v>
      </c>
      <c r="AE50" s="520"/>
      <c r="AF50" s="638">
        <v>2</v>
      </c>
      <c r="AG50" s="623"/>
      <c r="AH50" s="638">
        <v>3</v>
      </c>
      <c r="AI50" s="623"/>
      <c r="AJ50" s="323">
        <f t="shared" si="5"/>
        <v>0.5</v>
      </c>
      <c r="AK50" s="520"/>
      <c r="AL50" s="638">
        <v>1</v>
      </c>
      <c r="AM50" s="623"/>
      <c r="AN50" s="638">
        <v>1</v>
      </c>
      <c r="AO50" s="623"/>
      <c r="AP50" s="323">
        <f t="shared" si="6"/>
        <v>0</v>
      </c>
      <c r="AQ50" s="520"/>
      <c r="AR50" s="338">
        <v>4</v>
      </c>
      <c r="AS50" s="623"/>
      <c r="AT50" s="338">
        <v>5</v>
      </c>
      <c r="AU50" s="623"/>
      <c r="AV50" s="323">
        <f t="shared" si="7"/>
        <v>0.25</v>
      </c>
      <c r="AW50" s="520"/>
      <c r="AX50" s="638">
        <v>12</v>
      </c>
      <c r="AY50" s="623"/>
      <c r="AZ50" s="638">
        <v>2</v>
      </c>
      <c r="BA50" s="623"/>
      <c r="BB50" s="323">
        <f t="shared" si="8"/>
        <v>-0.83333333333333337</v>
      </c>
      <c r="BC50" s="520"/>
      <c r="BD50" s="638">
        <v>1</v>
      </c>
      <c r="BE50" s="623"/>
      <c r="BF50" s="638">
        <v>1</v>
      </c>
      <c r="BG50" s="623"/>
      <c r="BH50" s="323">
        <f t="shared" si="9"/>
        <v>0</v>
      </c>
      <c r="BI50" s="520"/>
      <c r="BJ50" s="638">
        <v>10</v>
      </c>
      <c r="BK50" s="623"/>
      <c r="BL50" s="638">
        <v>4</v>
      </c>
      <c r="BM50" s="623"/>
      <c r="BN50" s="323">
        <f t="shared" si="10"/>
        <v>-0.6</v>
      </c>
      <c r="BO50" s="520"/>
      <c r="BP50" s="638">
        <v>0</v>
      </c>
      <c r="BQ50" s="623"/>
      <c r="BR50" s="638">
        <v>0</v>
      </c>
      <c r="BS50" s="623"/>
      <c r="BT50" s="323">
        <f t="shared" si="11"/>
        <v>0</v>
      </c>
      <c r="BU50" s="520"/>
      <c r="BV50" s="638">
        <v>1</v>
      </c>
      <c r="BW50" s="623"/>
      <c r="BX50" s="638">
        <v>0</v>
      </c>
      <c r="BY50" s="623"/>
      <c r="BZ50" s="323">
        <f t="shared" si="12"/>
        <v>-1</v>
      </c>
      <c r="CA50" s="315"/>
      <c r="CD50" s="531"/>
      <c r="CE50" s="531">
        <v>0</v>
      </c>
      <c r="CF50" s="532">
        <f t="shared" si="49"/>
        <v>0</v>
      </c>
      <c r="CG50" s="531">
        <v>0</v>
      </c>
      <c r="CH50" s="532">
        <f t="shared" si="50"/>
        <v>0</v>
      </c>
      <c r="CI50" s="531">
        <v>0</v>
      </c>
      <c r="CJ50" s="532">
        <f t="shared" si="45"/>
        <v>0</v>
      </c>
      <c r="CK50" s="531">
        <v>0</v>
      </c>
      <c r="CL50" s="532">
        <f t="shared" si="51"/>
        <v>0</v>
      </c>
      <c r="CM50" s="531">
        <v>0</v>
      </c>
      <c r="CN50" s="532">
        <f t="shared" si="52"/>
        <v>0</v>
      </c>
      <c r="CO50" s="531">
        <v>0</v>
      </c>
      <c r="CP50" s="532">
        <f t="shared" si="53"/>
        <v>0</v>
      </c>
      <c r="CQ50" s="531">
        <v>0</v>
      </c>
      <c r="CR50" s="532">
        <f t="shared" si="43"/>
        <v>0</v>
      </c>
      <c r="CS50" s="531">
        <f t="shared" si="26"/>
        <v>0</v>
      </c>
      <c r="CT50" s="313"/>
      <c r="CU50" s="313"/>
      <c r="CV50" s="313"/>
      <c r="CW50" s="313"/>
      <c r="CX50" s="313"/>
      <c r="CY50" s="313"/>
      <c r="CZ50" s="313"/>
      <c r="DA50" s="313"/>
      <c r="DB50" s="313"/>
      <c r="DC50" s="313"/>
    </row>
    <row r="51" spans="1:107" s="2" customFormat="1" ht="14.25">
      <c r="A51" s="1553"/>
      <c r="B51" s="1556"/>
      <c r="C51" s="638">
        <v>24.3</v>
      </c>
      <c r="D51" s="325" t="s">
        <v>1284</v>
      </c>
      <c r="E51" s="492" t="s">
        <v>1241</v>
      </c>
      <c r="F51" s="339" t="s">
        <v>1282</v>
      </c>
      <c r="G51" s="625"/>
      <c r="H51" s="334"/>
      <c r="I51" s="625"/>
      <c r="J51" s="658">
        <f t="shared" si="40"/>
        <v>2183.8000000000002</v>
      </c>
      <c r="K51" s="664"/>
      <c r="L51" s="658">
        <f t="shared" si="41"/>
        <v>2205.3000000000002</v>
      </c>
      <c r="M51" s="511"/>
      <c r="N51" s="512">
        <f t="shared" si="22"/>
        <v>0</v>
      </c>
      <c r="O51" s="510">
        <f t="shared" si="42"/>
        <v>0</v>
      </c>
      <c r="P51" s="510">
        <f t="shared" si="23"/>
        <v>0</v>
      </c>
      <c r="Q51" s="833">
        <f t="shared" si="24"/>
        <v>0</v>
      </c>
      <c r="R51" s="832">
        <f t="shared" si="25"/>
        <v>0</v>
      </c>
      <c r="S51" s="520"/>
      <c r="T51" s="330">
        <v>1028</v>
      </c>
      <c r="U51" s="623"/>
      <c r="V51" s="330">
        <v>972</v>
      </c>
      <c r="W51" s="623"/>
      <c r="X51" s="323">
        <f t="shared" si="3"/>
        <v>-5.4474708171206254E-2</v>
      </c>
      <c r="Y51" s="520"/>
      <c r="Z51" s="330">
        <v>2833</v>
      </c>
      <c r="AA51" s="623"/>
      <c r="AB51" s="330">
        <v>2864</v>
      </c>
      <c r="AC51" s="623"/>
      <c r="AD51" s="323">
        <f t="shared" si="4"/>
        <v>1.0942463819272774E-2</v>
      </c>
      <c r="AE51" s="520"/>
      <c r="AF51" s="638">
        <v>4257</v>
      </c>
      <c r="AG51" s="623"/>
      <c r="AH51" s="638">
        <v>4155</v>
      </c>
      <c r="AI51" s="623"/>
      <c r="AJ51" s="323">
        <f t="shared" si="5"/>
        <v>-2.3960535588442577E-2</v>
      </c>
      <c r="AK51" s="520"/>
      <c r="AL51" s="638">
        <v>1478</v>
      </c>
      <c r="AM51" s="623"/>
      <c r="AN51" s="638">
        <v>1479</v>
      </c>
      <c r="AO51" s="623"/>
      <c r="AP51" s="323">
        <f t="shared" si="6"/>
        <v>6.7658998646824564E-4</v>
      </c>
      <c r="AQ51" s="520"/>
      <c r="AR51" s="338">
        <v>3391</v>
      </c>
      <c r="AS51" s="623"/>
      <c r="AT51" s="338">
        <v>3577</v>
      </c>
      <c r="AU51" s="623"/>
      <c r="AV51" s="323">
        <f t="shared" si="7"/>
        <v>5.4851076378649388E-2</v>
      </c>
      <c r="AW51" s="520"/>
      <c r="AX51" s="638">
        <v>3486</v>
      </c>
      <c r="AY51" s="623"/>
      <c r="AZ51" s="638">
        <v>3762</v>
      </c>
      <c r="BA51" s="623"/>
      <c r="BB51" s="323">
        <f t="shared" si="8"/>
        <v>7.9173838209982694E-2</v>
      </c>
      <c r="BC51" s="520"/>
      <c r="BD51" s="638">
        <v>674</v>
      </c>
      <c r="BE51" s="623"/>
      <c r="BF51" s="638">
        <v>888</v>
      </c>
      <c r="BG51" s="623"/>
      <c r="BH51" s="323">
        <f t="shared" si="9"/>
        <v>0.31750741839762608</v>
      </c>
      <c r="BI51" s="520"/>
      <c r="BJ51" s="638">
        <v>2884</v>
      </c>
      <c r="BK51" s="623"/>
      <c r="BL51" s="638">
        <v>2792</v>
      </c>
      <c r="BM51" s="623"/>
      <c r="BN51" s="323">
        <f t="shared" si="10"/>
        <v>-3.1900138696255187E-2</v>
      </c>
      <c r="BO51" s="520"/>
      <c r="BP51" s="638">
        <v>785</v>
      </c>
      <c r="BQ51" s="623"/>
      <c r="BR51" s="638">
        <v>720</v>
      </c>
      <c r="BS51" s="623"/>
      <c r="BT51" s="323">
        <f t="shared" si="11"/>
        <v>-8.2802547770700619E-2</v>
      </c>
      <c r="BU51" s="520"/>
      <c r="BV51" s="638">
        <v>1022</v>
      </c>
      <c r="BW51" s="623"/>
      <c r="BX51" s="638">
        <v>844</v>
      </c>
      <c r="BY51" s="623"/>
      <c r="BZ51" s="323">
        <f t="shared" si="12"/>
        <v>-0.17416829745596873</v>
      </c>
      <c r="CA51" s="315"/>
      <c r="CD51" s="531"/>
      <c r="CE51" s="531">
        <v>0</v>
      </c>
      <c r="CF51" s="532">
        <f t="shared" si="49"/>
        <v>0</v>
      </c>
      <c r="CG51" s="531">
        <v>0</v>
      </c>
      <c r="CH51" s="532">
        <f t="shared" si="50"/>
        <v>0</v>
      </c>
      <c r="CI51" s="531">
        <v>0</v>
      </c>
      <c r="CJ51" s="532">
        <f t="shared" si="45"/>
        <v>0</v>
      </c>
      <c r="CK51" s="531">
        <v>0</v>
      </c>
      <c r="CL51" s="532">
        <f t="shared" si="51"/>
        <v>0</v>
      </c>
      <c r="CM51" s="531">
        <v>0</v>
      </c>
      <c r="CN51" s="532">
        <f t="shared" si="52"/>
        <v>0</v>
      </c>
      <c r="CO51" s="531">
        <v>0</v>
      </c>
      <c r="CP51" s="532">
        <f t="shared" si="53"/>
        <v>0</v>
      </c>
      <c r="CQ51" s="531">
        <v>0</v>
      </c>
      <c r="CR51" s="532">
        <f t="shared" si="43"/>
        <v>0</v>
      </c>
      <c r="CS51" s="531">
        <f t="shared" si="26"/>
        <v>0</v>
      </c>
      <c r="CT51" s="313"/>
      <c r="CU51" s="313"/>
      <c r="CV51" s="313"/>
      <c r="CW51" s="313"/>
      <c r="CX51" s="313"/>
      <c r="CY51" s="313"/>
      <c r="CZ51" s="313"/>
      <c r="DA51" s="313"/>
      <c r="DB51" s="313"/>
      <c r="DC51" s="313"/>
    </row>
    <row r="52" spans="1:107" s="2" customFormat="1" ht="14.25">
      <c r="A52" s="1553" t="s">
        <v>1285</v>
      </c>
      <c r="B52" s="1555" t="s">
        <v>1286</v>
      </c>
      <c r="C52" s="23">
        <v>25</v>
      </c>
      <c r="D52" s="1024" t="s">
        <v>2109</v>
      </c>
      <c r="E52" s="494"/>
      <c r="F52" s="498"/>
      <c r="G52" s="623" t="s">
        <v>484</v>
      </c>
      <c r="H52" s="334" t="s">
        <v>285</v>
      </c>
      <c r="I52" s="624">
        <v>3</v>
      </c>
      <c r="J52" s="657">
        <f t="shared" si="40"/>
        <v>3.7388628107361294E-2</v>
      </c>
      <c r="K52" s="664">
        <f>AVERAGE(BW52,BQ52,BK52,BE52,AY52,AS52,AM52,AG52,AA52,U52)</f>
        <v>2.7</v>
      </c>
      <c r="L52" s="657">
        <f>AVERAGE(BX52,BR52,BL52,BF52,AZ52,AT52,AN52,AH52,AB52,V52)</f>
        <v>4.215512434963993E-2</v>
      </c>
      <c r="M52" s="511">
        <f>AVERAGE(BY52,BS52,BM52,BG52,BA52,AU52,AO52,AI52,AC52,W52)</f>
        <v>2.5499999999999998</v>
      </c>
      <c r="N52" s="512">
        <f>M52-K52</f>
        <v>-0.15000000000000036</v>
      </c>
      <c r="O52" s="510">
        <f t="shared" si="42"/>
        <v>0.45000000000000018</v>
      </c>
      <c r="P52" s="510">
        <f t="shared" si="23"/>
        <v>0.31500000000000011</v>
      </c>
      <c r="Q52" s="833">
        <f t="shared" si="24"/>
        <v>3.500000000000001E-2</v>
      </c>
      <c r="R52" s="832">
        <f t="shared" si="25"/>
        <v>1.7500000000000005E-2</v>
      </c>
      <c r="S52" s="520"/>
      <c r="T52" s="653">
        <f>IF(SUM(T55:T56)=0,"",SUM(T53:T54)/SUM(T55:T56))</f>
        <v>1.8266114187116825E-2</v>
      </c>
      <c r="U52" s="623">
        <f>IF(T52&lt;=0.05,3,IF(T52&lt;=0.1,1.5,0))</f>
        <v>3</v>
      </c>
      <c r="V52" s="653">
        <f>IF(SUM(V55:V56)=0,"",SUM(V53:V54)/SUM(V55:V56))</f>
        <v>1.2412315288825415E-2</v>
      </c>
      <c r="W52" s="322">
        <f>IF(V52&lt;=0.05,3,IF(V52&lt;=0.1,1.5,0))</f>
        <v>3</v>
      </c>
      <c r="X52" s="323">
        <f t="shared" si="3"/>
        <v>-0.32047313612109807</v>
      </c>
      <c r="Y52" s="520"/>
      <c r="Z52" s="653">
        <f>IF(SUM(Z55:Z56)=0,"",SUM(Z53:Z54)/SUM(Z55:Z56))</f>
        <v>2.2989911254155174E-2</v>
      </c>
      <c r="AA52" s="623">
        <f>IF(Z52&lt;=0.05,3,IF(Z52&lt;=0.1,1.5,0))</f>
        <v>3</v>
      </c>
      <c r="AB52" s="653">
        <f>IF(SUM(AB55:AB56)=0,"",SUM(AB53:AB54)/SUM(AB55:AB56))</f>
        <v>4.1565101736771748E-2</v>
      </c>
      <c r="AC52" s="623">
        <f>IF(AB52&lt;=0.05,3,IF(AB52&lt;=0.1,1.5,0))</f>
        <v>3</v>
      </c>
      <c r="AD52" s="323">
        <f t="shared" si="4"/>
        <v>0.80797138698216209</v>
      </c>
      <c r="AE52" s="520"/>
      <c r="AF52" s="653">
        <f>IF(SUM(AF55:AF56)=0,"",SUM(AF53:AF54)/SUM(AF55:AF56))</f>
        <v>2.5822782885854472E-2</v>
      </c>
      <c r="AG52" s="623">
        <f>IF(AF52&lt;=0.05,3,IF(AF52&lt;=0.1,1.5,0))</f>
        <v>3</v>
      </c>
      <c r="AH52" s="653">
        <f>IF(SUM(AH55:AH56)=0,"",SUM(AH53:AH54)/SUM(AH55:AH56))</f>
        <v>3.8649541427034612E-2</v>
      </c>
      <c r="AI52" s="322">
        <f>IF(AH52&lt;=0.05,3,IF(AH52&lt;=0.1,1.5,0))</f>
        <v>3</v>
      </c>
      <c r="AJ52" s="323">
        <f t="shared" si="5"/>
        <v>0.49672254914889691</v>
      </c>
      <c r="AK52" s="520"/>
      <c r="AL52" s="653">
        <f>IF(SUM(AL55:AL56)=0,"",SUM(AL53:AL54)/SUM(AL55:AL56))</f>
        <v>7.3531361182887264E-2</v>
      </c>
      <c r="AM52" s="623">
        <f>IF(AL52&lt;=0.05,3,IF(AL52&lt;=0.1,1.5,0))</f>
        <v>1.5</v>
      </c>
      <c r="AN52" s="653">
        <f>IF(SUM(AN55:AN56)=0,"",SUM(AN53:AN54)/SUM(AN55:AN56))</f>
        <v>6.4849825556651947E-2</v>
      </c>
      <c r="AO52" s="623">
        <f>IF(AN52&lt;=0.05,3,IF(AN52&lt;=0.1,1.5,0))</f>
        <v>1.5</v>
      </c>
      <c r="AP52" s="323">
        <f t="shared" si="6"/>
        <v>-0.11806575434721789</v>
      </c>
      <c r="AQ52" s="520"/>
      <c r="AR52" s="653">
        <f>IF(SUM(AR55:AR56)=0,"",SUM(AR53:AR54)/SUM(AR55:AR56))</f>
        <v>2.894135987734035E-2</v>
      </c>
      <c r="AS52" s="623">
        <f>IF(AR52&lt;=0.05,3,IF(AR52&lt;=0.1,1.5,0))</f>
        <v>3</v>
      </c>
      <c r="AT52" s="653">
        <f>IF(SUM(AT55:AT56)=0,"",SUM(AT53:AT54)/SUM(AT55:AT56))</f>
        <v>3.2256051869674049E-2</v>
      </c>
      <c r="AU52" s="623">
        <f>IF(AT52&lt;=0.05,3,IF(AT52&lt;=0.1,1.5,0))</f>
        <v>3</v>
      </c>
      <c r="AV52" s="323">
        <f t="shared" si="7"/>
        <v>0.11453131457478394</v>
      </c>
      <c r="AW52" s="520"/>
      <c r="AX52" s="653">
        <f>IF(SUM(AX55:AX56)=0,"",SUM(AX53:AX54)/SUM(AX55:AX56))</f>
        <v>3.2177501958951527E-2</v>
      </c>
      <c r="AY52" s="623">
        <f>IF(AX52&lt;=0.05,3,IF(AX52&lt;=0.1,1.5,0))</f>
        <v>3</v>
      </c>
      <c r="AZ52" s="653">
        <f>IF(SUM(AZ55:AZ56)=0,"",SUM(AZ53:AZ54)/SUM(AZ55:AZ56))</f>
        <v>4.0936396590662068E-2</v>
      </c>
      <c r="BA52" s="623">
        <f>IF(AZ52&lt;=0.05,3,IF(AZ52&lt;=0.1,1.5,0))</f>
        <v>3</v>
      </c>
      <c r="BB52" s="323">
        <f t="shared" si="8"/>
        <v>0.27220555041482597</v>
      </c>
      <c r="BC52" s="520"/>
      <c r="BD52" s="653">
        <f>IF(SUM(BD55:BD56)=0,"",SUM(BD53:BD54)/SUM(BD55:BD56))</f>
        <v>4.5201417694948773E-2</v>
      </c>
      <c r="BE52" s="623">
        <f>IF(BD52&lt;=0.05,3,IF(BD52&lt;=0.1,1.5,0))</f>
        <v>3</v>
      </c>
      <c r="BF52" s="653">
        <f>IF(SUM(BF55:BF56)=0,"",SUM(BF53:BF54)/SUM(BF55:BF56))</f>
        <v>5.1860599070393018E-2</v>
      </c>
      <c r="BG52" s="1021">
        <f>IF(BF52&lt;=0.05,3,IF(BF52&lt;=0.1,1.5,0))</f>
        <v>1.5</v>
      </c>
      <c r="BH52" s="323">
        <f t="shared" si="9"/>
        <v>0.14732240082346815</v>
      </c>
      <c r="BI52" s="520"/>
      <c r="BJ52" s="653">
        <f>IF(SUM(BJ55:BJ56)=0,"",SUM(BJ53:BJ54)/SUM(BJ55:BJ56))</f>
        <v>4.2198934099095572E-2</v>
      </c>
      <c r="BK52" s="623">
        <f>IF(BJ52&lt;=0.05,3,IF(BJ52&lt;=0.1,1.5,0))</f>
        <v>3</v>
      </c>
      <c r="BL52" s="653">
        <f>IF(SUM(BL55:BL56)=0,"",SUM(BL53:BL54)/SUM(BL55:BL56))</f>
        <v>4.9445466106441273E-2</v>
      </c>
      <c r="BM52" s="623">
        <f>IF(BL52&lt;=0.05,3,IF(BL52&lt;=0.1,1.5,0))</f>
        <v>3</v>
      </c>
      <c r="BN52" s="323">
        <f t="shared" si="10"/>
        <v>0.17172310538291558</v>
      </c>
      <c r="BO52" s="520"/>
      <c r="BP52" s="653">
        <f>IF(SUM(BP55:BP56)=0,"",SUM(BP53:BP54)/SUM(BP55:BP56))</f>
        <v>5.7559034104448452E-2</v>
      </c>
      <c r="BQ52" s="623">
        <f>IF(BP52&lt;=0.05,3,IF(BP52&lt;=0.1,1.5,0))</f>
        <v>1.5</v>
      </c>
      <c r="BR52" s="653">
        <f>IF(SUM(BR55:BR56)=0,"",SUM(BR53:BR54)/SUM(BR55:BR56))</f>
        <v>5.3524081876545733E-2</v>
      </c>
      <c r="BS52" s="623">
        <f>IF(BR52&lt;=0.05,3,IF(BR52&lt;=0.1,1.5,0))</f>
        <v>1.5</v>
      </c>
      <c r="BT52" s="323">
        <f t="shared" si="11"/>
        <v>-7.0101110810524836E-2</v>
      </c>
      <c r="BU52" s="520"/>
      <c r="BV52" s="653">
        <f>IF(SUM(BV55:BV56)=0,"",SUM(BV53:BV54)/SUM(BV55:BV56))</f>
        <v>2.7197863828814547E-2</v>
      </c>
      <c r="BW52" s="623">
        <f>IF(BV52&lt;=0.05,3,IF(BV52&lt;=0.1,1.5,0))</f>
        <v>3</v>
      </c>
      <c r="BX52" s="653">
        <f>IF(SUM(BX55:BX56)=0,"",SUM(BX53:BX54)/SUM(BX55:BX56))</f>
        <v>3.6051863973399545E-2</v>
      </c>
      <c r="BY52" s="623">
        <f>IF(BX52&lt;=0.05,3,IF(BX52&lt;=0.1,1.5,0))</f>
        <v>3</v>
      </c>
      <c r="BZ52" s="323">
        <f t="shared" si="12"/>
        <v>0.32554027773330874</v>
      </c>
      <c r="CA52" s="315"/>
      <c r="CD52" s="531" t="s">
        <v>1829</v>
      </c>
      <c r="CE52" s="531">
        <v>0</v>
      </c>
      <c r="CF52" s="532">
        <f t="shared" si="49"/>
        <v>2.5499999999999998</v>
      </c>
      <c r="CG52" s="531">
        <v>1</v>
      </c>
      <c r="CH52" s="533">
        <v>3</v>
      </c>
      <c r="CI52" s="531">
        <v>0</v>
      </c>
      <c r="CJ52" s="533">
        <v>3</v>
      </c>
      <c r="CK52" s="531">
        <v>1</v>
      </c>
      <c r="CL52" s="533">
        <v>0</v>
      </c>
      <c r="CM52" s="531">
        <v>1</v>
      </c>
      <c r="CN52" s="533">
        <v>3</v>
      </c>
      <c r="CO52" s="531">
        <v>1</v>
      </c>
      <c r="CP52" s="533">
        <v>2.7</v>
      </c>
      <c r="CQ52" s="531">
        <v>0</v>
      </c>
      <c r="CR52" s="532">
        <f t="shared" si="43"/>
        <v>2.5499999999999998</v>
      </c>
      <c r="CS52" s="531">
        <f t="shared" si="26"/>
        <v>18.25</v>
      </c>
      <c r="CT52" s="313"/>
      <c r="CU52" s="313"/>
      <c r="CV52" s="313"/>
      <c r="CW52" s="313"/>
      <c r="CX52" s="313"/>
      <c r="CY52" s="313"/>
      <c r="CZ52" s="313"/>
      <c r="DA52" s="313"/>
      <c r="DB52" s="313"/>
      <c r="DC52" s="313"/>
    </row>
    <row r="53" spans="1:107" s="2" customFormat="1" ht="14.25">
      <c r="A53" s="1553"/>
      <c r="B53" s="1556"/>
      <c r="C53" s="638">
        <v>25.1</v>
      </c>
      <c r="D53" s="325" t="s">
        <v>1287</v>
      </c>
      <c r="E53" s="492" t="s">
        <v>259</v>
      </c>
      <c r="F53" s="339" t="s">
        <v>1288</v>
      </c>
      <c r="G53" s="625"/>
      <c r="H53" s="334"/>
      <c r="I53" s="623"/>
      <c r="J53" s="658">
        <f t="shared" si="40"/>
        <v>2560330.7000000002</v>
      </c>
      <c r="K53" s="664"/>
      <c r="L53" s="663">
        <f t="shared" si="41"/>
        <v>3026335.6</v>
      </c>
      <c r="M53" s="511"/>
      <c r="N53" s="512">
        <f t="shared" si="22"/>
        <v>0</v>
      </c>
      <c r="O53" s="510">
        <f t="shared" si="42"/>
        <v>0</v>
      </c>
      <c r="P53" s="510">
        <f t="shared" si="23"/>
        <v>0</v>
      </c>
      <c r="Q53" s="833">
        <f t="shared" si="24"/>
        <v>0</v>
      </c>
      <c r="R53" s="832">
        <f t="shared" si="25"/>
        <v>0</v>
      </c>
      <c r="S53" s="520"/>
      <c r="T53" s="338">
        <v>397814</v>
      </c>
      <c r="U53" s="322"/>
      <c r="V53" s="338">
        <v>403681</v>
      </c>
      <c r="W53" s="322"/>
      <c r="X53" s="323">
        <f t="shared" si="3"/>
        <v>1.4748098357523887E-2</v>
      </c>
      <c r="Y53" s="520"/>
      <c r="Z53" s="655">
        <v>3591594</v>
      </c>
      <c r="AA53" s="340"/>
      <c r="AB53" s="655">
        <v>8848521</v>
      </c>
      <c r="AC53" s="340"/>
      <c r="AD53" s="323">
        <f t="shared" si="4"/>
        <v>1.4636751815489166</v>
      </c>
      <c r="AE53" s="520"/>
      <c r="AF53" s="338">
        <v>3350025</v>
      </c>
      <c r="AG53" s="322"/>
      <c r="AH53" s="338">
        <v>2523058</v>
      </c>
      <c r="AI53" s="322"/>
      <c r="AJ53" s="323">
        <f t="shared" si="5"/>
        <v>-0.24685397870165149</v>
      </c>
      <c r="AK53" s="520"/>
      <c r="AL53" s="655">
        <v>3233705</v>
      </c>
      <c r="AM53" s="340"/>
      <c r="AN53" s="655">
        <v>5448110</v>
      </c>
      <c r="AO53" s="340"/>
      <c r="AP53" s="323">
        <f t="shared" si="6"/>
        <v>0.684788810358397</v>
      </c>
      <c r="AQ53" s="520"/>
      <c r="AR53" s="655">
        <v>2606245</v>
      </c>
      <c r="AS53" s="322"/>
      <c r="AT53" s="655">
        <v>3058103</v>
      </c>
      <c r="AU53" s="322"/>
      <c r="AV53" s="323">
        <f t="shared" si="7"/>
        <v>0.17337510479636409</v>
      </c>
      <c r="AW53" s="520"/>
      <c r="AX53" s="638">
        <v>4596454</v>
      </c>
      <c r="AY53" s="340"/>
      <c r="AZ53" s="638">
        <v>3716461</v>
      </c>
      <c r="BA53" s="340"/>
      <c r="BB53" s="323">
        <f t="shared" si="8"/>
        <v>-0.1914504093807966</v>
      </c>
      <c r="BC53" s="520"/>
      <c r="BD53" s="638">
        <v>183322</v>
      </c>
      <c r="BE53" s="322"/>
      <c r="BF53" s="638">
        <v>193688</v>
      </c>
      <c r="BG53" s="322"/>
      <c r="BH53" s="323">
        <f t="shared" si="9"/>
        <v>5.6545313710302025E-2</v>
      </c>
      <c r="BI53" s="520"/>
      <c r="BJ53" s="638">
        <v>5092908</v>
      </c>
      <c r="BK53" s="340"/>
      <c r="BL53" s="638">
        <v>4617886</v>
      </c>
      <c r="BM53" s="340"/>
      <c r="BN53" s="323">
        <f t="shared" si="10"/>
        <v>-9.3271270558981212E-2</v>
      </c>
      <c r="BO53" s="520"/>
      <c r="BP53" s="638">
        <v>1718471</v>
      </c>
      <c r="BQ53" s="322"/>
      <c r="BR53" s="638">
        <v>650838</v>
      </c>
      <c r="BS53" s="322"/>
      <c r="BT53" s="323">
        <f t="shared" si="11"/>
        <v>-0.62126913983418985</v>
      </c>
      <c r="BU53" s="520"/>
      <c r="BV53" s="638">
        <v>832769</v>
      </c>
      <c r="BW53" s="340"/>
      <c r="BX53" s="638">
        <v>803010</v>
      </c>
      <c r="BY53" s="340"/>
      <c r="BZ53" s="323">
        <f t="shared" si="12"/>
        <v>-3.5734999741825146E-2</v>
      </c>
      <c r="CA53" s="315"/>
      <c r="CD53" s="531"/>
      <c r="CE53" s="531">
        <v>0</v>
      </c>
      <c r="CF53" s="532">
        <f t="shared" si="49"/>
        <v>0</v>
      </c>
      <c r="CG53" s="531">
        <v>0</v>
      </c>
      <c r="CH53" s="532">
        <f t="shared" ref="CH53:CH72" si="54">$M53</f>
        <v>0</v>
      </c>
      <c r="CI53" s="531">
        <v>0</v>
      </c>
      <c r="CJ53" s="532">
        <f t="shared" ref="CJ53:CJ72" si="55">$M53</f>
        <v>0</v>
      </c>
      <c r="CK53" s="531">
        <v>0</v>
      </c>
      <c r="CL53" s="532">
        <f t="shared" ref="CL53:CL72" si="56">$M53</f>
        <v>0</v>
      </c>
      <c r="CM53" s="531">
        <v>0</v>
      </c>
      <c r="CN53" s="532">
        <f t="shared" ref="CN53:CN72" si="57">$M53</f>
        <v>0</v>
      </c>
      <c r="CO53" s="531">
        <v>0</v>
      </c>
      <c r="CP53" s="532">
        <f t="shared" ref="CP53:CP72" si="58">$M53</f>
        <v>0</v>
      </c>
      <c r="CQ53" s="531">
        <v>0</v>
      </c>
      <c r="CR53" s="532">
        <f t="shared" si="43"/>
        <v>0</v>
      </c>
      <c r="CS53" s="531">
        <f t="shared" si="26"/>
        <v>0</v>
      </c>
      <c r="CT53" s="313"/>
      <c r="CU53" s="313"/>
      <c r="CV53" s="313"/>
      <c r="CW53" s="313"/>
      <c r="CX53" s="313"/>
      <c r="CY53" s="313"/>
      <c r="CZ53" s="313"/>
      <c r="DA53" s="313"/>
      <c r="DB53" s="313"/>
      <c r="DC53" s="313"/>
    </row>
    <row r="54" spans="1:107" s="2" customFormat="1" ht="14.25">
      <c r="A54" s="1553"/>
      <c r="B54" s="1556"/>
      <c r="C54" s="638">
        <v>25.2</v>
      </c>
      <c r="D54" s="325" t="s">
        <v>1289</v>
      </c>
      <c r="E54" s="492" t="s">
        <v>259</v>
      </c>
      <c r="F54" s="625"/>
      <c r="G54" s="625"/>
      <c r="H54" s="334"/>
      <c r="I54" s="625"/>
      <c r="J54" s="658">
        <f t="shared" si="40"/>
        <v>1977150.5029999998</v>
      </c>
      <c r="K54" s="664"/>
      <c r="L54" s="663">
        <f t="shared" si="41"/>
        <v>2161959.0460000001</v>
      </c>
      <c r="M54" s="511"/>
      <c r="N54" s="512">
        <f t="shared" si="22"/>
        <v>0</v>
      </c>
      <c r="O54" s="510">
        <f t="shared" si="42"/>
        <v>0</v>
      </c>
      <c r="P54" s="510">
        <f t="shared" si="23"/>
        <v>0</v>
      </c>
      <c r="Q54" s="833">
        <f t="shared" si="24"/>
        <v>0</v>
      </c>
      <c r="R54" s="832">
        <f t="shared" si="25"/>
        <v>0</v>
      </c>
      <c r="S54" s="520"/>
      <c r="T54" s="338">
        <v>791695.35999999999</v>
      </c>
      <c r="U54" s="322"/>
      <c r="V54" s="338">
        <v>320821.92</v>
      </c>
      <c r="W54" s="322"/>
      <c r="X54" s="323">
        <f t="shared" si="3"/>
        <v>-0.59476594633572188</v>
      </c>
      <c r="Y54" s="520"/>
      <c r="Z54" s="655">
        <v>2714961.63</v>
      </c>
      <c r="AA54" s="340"/>
      <c r="AB54" s="655">
        <v>3286194.22</v>
      </c>
      <c r="AC54" s="340"/>
      <c r="AD54" s="323">
        <f t="shared" si="4"/>
        <v>0.21040171753734893</v>
      </c>
      <c r="AE54" s="520"/>
      <c r="AF54" s="338">
        <v>3484139.19</v>
      </c>
      <c r="AG54" s="322"/>
      <c r="AH54" s="338">
        <v>4643552.3</v>
      </c>
      <c r="AI54" s="322"/>
      <c r="AJ54" s="323">
        <f t="shared" si="5"/>
        <v>0.33276888401235194</v>
      </c>
      <c r="AK54" s="520"/>
      <c r="AL54" s="655">
        <v>1487918.09</v>
      </c>
      <c r="AM54" s="340"/>
      <c r="AN54" s="655">
        <v>1467284.08</v>
      </c>
      <c r="AO54" s="340"/>
      <c r="AP54" s="323">
        <f t="shared" si="6"/>
        <v>-1.3867705580486667E-2</v>
      </c>
      <c r="AQ54" s="520"/>
      <c r="AR54" s="655">
        <v>2638226.4499999993</v>
      </c>
      <c r="AS54" s="322"/>
      <c r="AT54" s="655">
        <v>2167682.17</v>
      </c>
      <c r="AU54" s="322"/>
      <c r="AV54" s="323">
        <f t="shared" si="7"/>
        <v>-0.1783562893170143</v>
      </c>
      <c r="AW54" s="520"/>
      <c r="AX54" s="638">
        <v>2659504.1999999997</v>
      </c>
      <c r="AY54" s="340"/>
      <c r="AZ54" s="638">
        <v>3587040.6800000006</v>
      </c>
      <c r="BA54" s="340"/>
      <c r="BB54" s="323">
        <f t="shared" si="8"/>
        <v>0.34876293107564971</v>
      </c>
      <c r="BC54" s="520"/>
      <c r="BD54" s="638">
        <v>1800696.2899999998</v>
      </c>
      <c r="BE54" s="322"/>
      <c r="BF54" s="638">
        <v>1438686.06</v>
      </c>
      <c r="BG54" s="322"/>
      <c r="BH54" s="323">
        <f t="shared" si="9"/>
        <v>-0.20103902696439713</v>
      </c>
      <c r="BI54" s="520"/>
      <c r="BJ54" s="638">
        <v>2343774.5099999998</v>
      </c>
      <c r="BK54" s="340"/>
      <c r="BL54" s="638">
        <v>2306472.8600000003</v>
      </c>
      <c r="BM54" s="340"/>
      <c r="BN54" s="323">
        <f t="shared" si="10"/>
        <v>-1.5915204231826685E-2</v>
      </c>
      <c r="BO54" s="520"/>
      <c r="BP54" s="638">
        <v>810189.45</v>
      </c>
      <c r="BQ54" s="322"/>
      <c r="BR54" s="638">
        <v>1590307.11</v>
      </c>
      <c r="BS54" s="322"/>
      <c r="BT54" s="323">
        <f t="shared" si="11"/>
        <v>0.96288301458381143</v>
      </c>
      <c r="BU54" s="520"/>
      <c r="BV54" s="638">
        <v>1040399.8600000001</v>
      </c>
      <c r="BW54" s="340"/>
      <c r="BX54" s="638">
        <v>811549.05999999994</v>
      </c>
      <c r="BY54" s="340"/>
      <c r="BZ54" s="323">
        <f t="shared" si="12"/>
        <v>-0.2199642741205291</v>
      </c>
      <c r="CA54" s="315"/>
      <c r="CD54" s="531"/>
      <c r="CE54" s="531">
        <v>0</v>
      </c>
      <c r="CF54" s="532">
        <f t="shared" si="49"/>
        <v>0</v>
      </c>
      <c r="CG54" s="531">
        <v>0</v>
      </c>
      <c r="CH54" s="532">
        <f t="shared" si="54"/>
        <v>0</v>
      </c>
      <c r="CI54" s="531">
        <v>0</v>
      </c>
      <c r="CJ54" s="532">
        <f t="shared" si="55"/>
        <v>0</v>
      </c>
      <c r="CK54" s="531">
        <v>0</v>
      </c>
      <c r="CL54" s="532">
        <f t="shared" si="56"/>
        <v>0</v>
      </c>
      <c r="CM54" s="531">
        <v>0</v>
      </c>
      <c r="CN54" s="532">
        <f t="shared" si="57"/>
        <v>0</v>
      </c>
      <c r="CO54" s="531">
        <v>0</v>
      </c>
      <c r="CP54" s="532">
        <f t="shared" si="58"/>
        <v>0</v>
      </c>
      <c r="CQ54" s="531">
        <v>0</v>
      </c>
      <c r="CR54" s="532">
        <f t="shared" si="43"/>
        <v>0</v>
      </c>
      <c r="CS54" s="531">
        <f t="shared" si="26"/>
        <v>0</v>
      </c>
      <c r="CT54" s="313"/>
      <c r="CU54" s="313"/>
      <c r="CV54" s="313"/>
      <c r="CW54" s="313"/>
      <c r="CX54" s="313"/>
      <c r="CY54" s="313"/>
      <c r="CZ54" s="313"/>
      <c r="DA54" s="313"/>
      <c r="DB54" s="313"/>
      <c r="DC54" s="313"/>
    </row>
    <row r="55" spans="1:107" s="2" customFormat="1" ht="14.25">
      <c r="A55" s="1553"/>
      <c r="B55" s="1556"/>
      <c r="C55" s="638">
        <v>25.3</v>
      </c>
      <c r="D55" s="1028" t="s">
        <v>1290</v>
      </c>
      <c r="E55" s="492" t="s">
        <v>259</v>
      </c>
      <c r="F55" s="625"/>
      <c r="G55" s="625"/>
      <c r="H55" s="334"/>
      <c r="I55" s="625"/>
      <c r="J55" s="658">
        <f t="shared" si="40"/>
        <v>98290091.541999996</v>
      </c>
      <c r="K55" s="664"/>
      <c r="L55" s="663">
        <f t="shared" si="41"/>
        <v>85614808.399999991</v>
      </c>
      <c r="M55" s="511"/>
      <c r="N55" s="512">
        <f t="shared" si="22"/>
        <v>0</v>
      </c>
      <c r="O55" s="510">
        <f t="shared" si="42"/>
        <v>0</v>
      </c>
      <c r="P55" s="510">
        <f t="shared" si="23"/>
        <v>0</v>
      </c>
      <c r="Q55" s="833">
        <f t="shared" si="24"/>
        <v>0</v>
      </c>
      <c r="R55" s="832">
        <f t="shared" si="25"/>
        <v>0</v>
      </c>
      <c r="S55" s="520"/>
      <c r="T55" s="338">
        <v>50438603.150000006</v>
      </c>
      <c r="U55" s="322"/>
      <c r="V55" s="338">
        <v>40118100.910000004</v>
      </c>
      <c r="W55" s="322"/>
      <c r="X55" s="323">
        <f t="shared" si="3"/>
        <v>-0.20461514783245938</v>
      </c>
      <c r="Y55" s="520"/>
      <c r="Z55" s="655">
        <v>209074454.19999999</v>
      </c>
      <c r="AA55" s="340"/>
      <c r="AB55" s="655">
        <v>221416066.75</v>
      </c>
      <c r="AC55" s="340"/>
      <c r="AD55" s="323">
        <f t="shared" si="4"/>
        <v>5.9029748982121211E-2</v>
      </c>
      <c r="AE55" s="520"/>
      <c r="AF55" s="338">
        <v>178944933.06000003</v>
      </c>
      <c r="AG55" s="322"/>
      <c r="AH55" s="338">
        <v>127268857.69</v>
      </c>
      <c r="AI55" s="322"/>
      <c r="AJ55" s="323">
        <f t="shared" si="5"/>
        <v>-0.28878199838535301</v>
      </c>
      <c r="AK55" s="520"/>
      <c r="AL55" s="655">
        <v>42764695.620000005</v>
      </c>
      <c r="AM55" s="340"/>
      <c r="AN55" s="655">
        <v>64673369.840000004</v>
      </c>
      <c r="AO55" s="340"/>
      <c r="AP55" s="323">
        <f t="shared" si="6"/>
        <v>0.51230749809789011</v>
      </c>
      <c r="AQ55" s="520"/>
      <c r="AR55" s="655">
        <v>132929501.51999997</v>
      </c>
      <c r="AS55" s="322"/>
      <c r="AT55" s="655">
        <v>116617533.36999999</v>
      </c>
      <c r="AU55" s="322"/>
      <c r="AV55" s="323">
        <f t="shared" si="7"/>
        <v>-0.12271142194530649</v>
      </c>
      <c r="AW55" s="520"/>
      <c r="AX55" s="638">
        <v>158575222.44</v>
      </c>
      <c r="AY55" s="340"/>
      <c r="AZ55" s="638">
        <v>119323449.70999999</v>
      </c>
      <c r="BA55" s="340"/>
      <c r="BB55" s="323">
        <f t="shared" si="8"/>
        <v>-0.2475277797251817</v>
      </c>
      <c r="BC55" s="520"/>
      <c r="BD55" s="638">
        <v>29932033.259999998</v>
      </c>
      <c r="BE55" s="322"/>
      <c r="BF55" s="638">
        <v>21829870.809999999</v>
      </c>
      <c r="BG55" s="322"/>
      <c r="BH55" s="323">
        <f t="shared" si="9"/>
        <v>-0.27068533499284242</v>
      </c>
      <c r="BI55" s="520"/>
      <c r="BJ55" s="638">
        <v>111233725.27999999</v>
      </c>
      <c r="BK55" s="340"/>
      <c r="BL55" s="638">
        <v>92052244.270000011</v>
      </c>
      <c r="BM55" s="340"/>
      <c r="BN55" s="323">
        <f t="shared" si="10"/>
        <v>-0.17244303345694778</v>
      </c>
      <c r="BO55" s="520"/>
      <c r="BP55" s="638">
        <v>25470693.779999997</v>
      </c>
      <c r="BQ55" s="322"/>
      <c r="BR55" s="638">
        <v>21711836.149999999</v>
      </c>
      <c r="BS55" s="322"/>
      <c r="BT55" s="323">
        <f t="shared" si="11"/>
        <v>-0.14757578503619384</v>
      </c>
      <c r="BU55" s="520"/>
      <c r="BV55" s="638">
        <v>43537053.110000007</v>
      </c>
      <c r="BW55" s="340"/>
      <c r="BX55" s="638">
        <v>31136754.5</v>
      </c>
      <c r="BY55" s="340"/>
      <c r="BZ55" s="323">
        <f t="shared" si="12"/>
        <v>-0.28482172595994526</v>
      </c>
      <c r="CA55" s="315"/>
      <c r="CD55" s="531"/>
      <c r="CE55" s="531">
        <v>0</v>
      </c>
      <c r="CF55" s="532">
        <f t="shared" si="49"/>
        <v>0</v>
      </c>
      <c r="CG55" s="531">
        <v>0</v>
      </c>
      <c r="CH55" s="532">
        <f t="shared" si="54"/>
        <v>0</v>
      </c>
      <c r="CI55" s="531">
        <v>0</v>
      </c>
      <c r="CJ55" s="532">
        <f t="shared" si="55"/>
        <v>0</v>
      </c>
      <c r="CK55" s="531">
        <v>0</v>
      </c>
      <c r="CL55" s="532">
        <f t="shared" si="56"/>
        <v>0</v>
      </c>
      <c r="CM55" s="531">
        <v>0</v>
      </c>
      <c r="CN55" s="532">
        <f t="shared" si="57"/>
        <v>0</v>
      </c>
      <c r="CO55" s="531">
        <v>0</v>
      </c>
      <c r="CP55" s="532">
        <f t="shared" si="58"/>
        <v>0</v>
      </c>
      <c r="CQ55" s="531">
        <v>0</v>
      </c>
      <c r="CR55" s="532">
        <f t="shared" si="43"/>
        <v>0</v>
      </c>
      <c r="CS55" s="531">
        <f t="shared" si="26"/>
        <v>0</v>
      </c>
      <c r="CT55" s="313"/>
      <c r="CU55" s="313"/>
      <c r="CV55" s="313"/>
      <c r="CW55" s="313"/>
      <c r="CX55" s="313"/>
      <c r="CY55" s="313"/>
      <c r="CZ55" s="313"/>
      <c r="DA55" s="313"/>
      <c r="DB55" s="313"/>
      <c r="DC55" s="313"/>
    </row>
    <row r="56" spans="1:107" s="2" customFormat="1" ht="14.25">
      <c r="A56" s="1553"/>
      <c r="B56" s="1556"/>
      <c r="C56" s="638">
        <v>25.4</v>
      </c>
      <c r="D56" s="1028" t="s">
        <v>1291</v>
      </c>
      <c r="E56" s="492" t="s">
        <v>259</v>
      </c>
      <c r="F56" s="625"/>
      <c r="G56" s="625"/>
      <c r="H56" s="334"/>
      <c r="I56" s="625"/>
      <c r="J56" s="658">
        <f t="shared" si="40"/>
        <v>42504096.200000003</v>
      </c>
      <c r="K56" s="664"/>
      <c r="L56" s="663">
        <f t="shared" si="41"/>
        <v>38482191.399999999</v>
      </c>
      <c r="M56" s="511"/>
      <c r="N56" s="512">
        <f t="shared" si="22"/>
        <v>0</v>
      </c>
      <c r="O56" s="510">
        <f t="shared" si="42"/>
        <v>0</v>
      </c>
      <c r="P56" s="510">
        <f t="shared" si="23"/>
        <v>0</v>
      </c>
      <c r="Q56" s="833">
        <f t="shared" si="24"/>
        <v>0</v>
      </c>
      <c r="R56" s="832">
        <f t="shared" si="25"/>
        <v>0</v>
      </c>
      <c r="S56" s="520"/>
      <c r="T56" s="338">
        <v>14682492</v>
      </c>
      <c r="U56" s="322"/>
      <c r="V56" s="338">
        <v>18251583</v>
      </c>
      <c r="W56" s="322"/>
      <c r="X56" s="323">
        <f t="shared" si="3"/>
        <v>0.2430848251100699</v>
      </c>
      <c r="Y56" s="520"/>
      <c r="Z56" s="655">
        <v>65243944</v>
      </c>
      <c r="AA56" s="340"/>
      <c r="AB56" s="655">
        <v>70528731</v>
      </c>
      <c r="AC56" s="340"/>
      <c r="AD56" s="323">
        <f t="shared" si="4"/>
        <v>8.1000422046833886E-2</v>
      </c>
      <c r="AE56" s="520"/>
      <c r="AF56" s="338">
        <v>85711445</v>
      </c>
      <c r="AG56" s="322"/>
      <c r="AH56" s="338">
        <v>58156636</v>
      </c>
      <c r="AI56" s="322"/>
      <c r="AJ56" s="323">
        <f t="shared" si="5"/>
        <v>-0.32148342616321546</v>
      </c>
      <c r="AK56" s="520"/>
      <c r="AL56" s="655">
        <v>21447676</v>
      </c>
      <c r="AM56" s="340"/>
      <c r="AN56" s="655">
        <v>41963680</v>
      </c>
      <c r="AO56" s="340"/>
      <c r="AP56" s="323">
        <f t="shared" si="6"/>
        <v>0.95656070149511763</v>
      </c>
      <c r="AQ56" s="520"/>
      <c r="AR56" s="655">
        <v>48280762</v>
      </c>
      <c r="AS56" s="322"/>
      <c r="AT56" s="655">
        <v>45391915</v>
      </c>
      <c r="AU56" s="322"/>
      <c r="AV56" s="323">
        <f t="shared" si="7"/>
        <v>-5.9834329043936818E-2</v>
      </c>
      <c r="AW56" s="520"/>
      <c r="AX56" s="638">
        <v>66922649</v>
      </c>
      <c r="AY56" s="340"/>
      <c r="AZ56" s="638">
        <v>59087507</v>
      </c>
      <c r="BA56" s="340"/>
      <c r="BB56" s="323">
        <f t="shared" si="8"/>
        <v>-0.11707758310643079</v>
      </c>
      <c r="BC56" s="520"/>
      <c r="BD56" s="638">
        <v>13960800</v>
      </c>
      <c r="BE56" s="322"/>
      <c r="BF56" s="638">
        <v>9646319</v>
      </c>
      <c r="BG56" s="322"/>
      <c r="BH56" s="323">
        <f t="shared" si="9"/>
        <v>-0.30904253337917598</v>
      </c>
      <c r="BI56" s="520"/>
      <c r="BJ56" s="638">
        <v>64995430</v>
      </c>
      <c r="BK56" s="340"/>
      <c r="BL56" s="638">
        <v>47988075</v>
      </c>
      <c r="BM56" s="340"/>
      <c r="BN56" s="323">
        <f t="shared" si="10"/>
        <v>-0.26167001279936142</v>
      </c>
      <c r="BO56" s="520"/>
      <c r="BP56" s="638">
        <v>18460906</v>
      </c>
      <c r="BQ56" s="322"/>
      <c r="BR56" s="638">
        <v>20159879</v>
      </c>
      <c r="BS56" s="322"/>
      <c r="BT56" s="323">
        <f t="shared" si="11"/>
        <v>9.2030856990442444E-2</v>
      </c>
      <c r="BU56" s="520"/>
      <c r="BV56" s="638">
        <v>25334858</v>
      </c>
      <c r="BW56" s="340"/>
      <c r="BX56" s="638">
        <v>13647589</v>
      </c>
      <c r="BY56" s="340"/>
      <c r="BZ56" s="323">
        <f t="shared" si="12"/>
        <v>-0.4613118021028576</v>
      </c>
      <c r="CA56" s="315"/>
      <c r="CD56" s="531"/>
      <c r="CE56" s="531">
        <v>0</v>
      </c>
      <c r="CF56" s="532">
        <f t="shared" si="49"/>
        <v>0</v>
      </c>
      <c r="CG56" s="531">
        <v>0</v>
      </c>
      <c r="CH56" s="532">
        <f t="shared" si="54"/>
        <v>0</v>
      </c>
      <c r="CI56" s="531">
        <v>0</v>
      </c>
      <c r="CJ56" s="532">
        <f t="shared" si="55"/>
        <v>0</v>
      </c>
      <c r="CK56" s="531">
        <v>0</v>
      </c>
      <c r="CL56" s="532">
        <f t="shared" si="56"/>
        <v>0</v>
      </c>
      <c r="CM56" s="531">
        <v>0</v>
      </c>
      <c r="CN56" s="532">
        <f t="shared" si="57"/>
        <v>0</v>
      </c>
      <c r="CO56" s="531">
        <v>0</v>
      </c>
      <c r="CP56" s="532">
        <f t="shared" si="58"/>
        <v>0</v>
      </c>
      <c r="CQ56" s="531">
        <v>0</v>
      </c>
      <c r="CR56" s="532">
        <f t="shared" si="43"/>
        <v>0</v>
      </c>
      <c r="CS56" s="531">
        <f t="shared" si="26"/>
        <v>0</v>
      </c>
      <c r="CT56" s="313"/>
      <c r="CU56" s="313"/>
      <c r="CV56" s="313"/>
      <c r="CW56" s="313"/>
      <c r="CX56" s="313"/>
      <c r="CY56" s="313"/>
      <c r="CZ56" s="313"/>
      <c r="DA56" s="313"/>
      <c r="DB56" s="313"/>
      <c r="DC56" s="313"/>
    </row>
    <row r="57" spans="1:107" s="2" customFormat="1" ht="14.25">
      <c r="A57" s="1553" t="s">
        <v>1830</v>
      </c>
      <c r="B57" s="1555" t="s">
        <v>2120</v>
      </c>
      <c r="C57" s="23">
        <v>26</v>
      </c>
      <c r="D57" s="329" t="s">
        <v>1292</v>
      </c>
      <c r="E57" s="494"/>
      <c r="F57" s="623"/>
      <c r="G57" s="623" t="s">
        <v>484</v>
      </c>
      <c r="H57" s="334" t="s">
        <v>285</v>
      </c>
      <c r="I57" s="624">
        <v>3</v>
      </c>
      <c r="J57" s="657">
        <f t="shared" si="40"/>
        <v>5.2142549870504932E-3</v>
      </c>
      <c r="K57" s="664">
        <f>AVERAGE(BW57,BQ57,BK57,BE57,AY57,AS57,AM57,AG57,AA57,U57)</f>
        <v>3</v>
      </c>
      <c r="L57" s="657">
        <f t="shared" si="41"/>
        <v>9.4640073295400827E-3</v>
      </c>
      <c r="M57" s="511">
        <f>AVERAGE(BY57,BS57,BM57,BG57,BA57,AU57,AO57,AI57,AC57,W57)</f>
        <v>3</v>
      </c>
      <c r="N57" s="512">
        <f t="shared" si="22"/>
        <v>0</v>
      </c>
      <c r="O57" s="510">
        <f t="shared" si="42"/>
        <v>0</v>
      </c>
      <c r="P57" s="510">
        <f t="shared" si="23"/>
        <v>0</v>
      </c>
      <c r="Q57" s="833">
        <f t="shared" si="24"/>
        <v>0</v>
      </c>
      <c r="R57" s="832">
        <f t="shared" si="25"/>
        <v>0</v>
      </c>
      <c r="S57" s="520"/>
      <c r="T57" s="653">
        <f>IF(T62=0,"",(SUM(T58:T59)-SUM(T60:T61))/T62)</f>
        <v>5.4005017559996982E-4</v>
      </c>
      <c r="U57" s="322">
        <f>IF(T57&lt;=0.03,3,IF(T57&lt;=0.05,1.5,0))</f>
        <v>3</v>
      </c>
      <c r="V57" s="653">
        <f>IF(V62=0,"",(SUM(V58:V59)-SUM(V60:V61))/V62)</f>
        <v>1.9122241883312871E-3</v>
      </c>
      <c r="W57" s="322">
        <f>IF(V57&lt;=0.03,3,IF(V57&lt;=0.05,1.5,0))</f>
        <v>3</v>
      </c>
      <c r="X57" s="323">
        <f t="shared" si="3"/>
        <v>2.5408268985504869</v>
      </c>
      <c r="Y57" s="520"/>
      <c r="Z57" s="653">
        <f>IF(Z62=0,"",(SUM(Z58:Z59)-SUM(Z60:Z61))/Z62)</f>
        <v>2.047328043567252E-3</v>
      </c>
      <c r="AA57" s="322">
        <f>IF(Z57&lt;=0.03,3,IF(Z57&lt;=0.05,1.5,0))</f>
        <v>3</v>
      </c>
      <c r="AB57" s="653">
        <f>IF(AB62=0,"",(SUM(AB58:AB59)-SUM(AB60:AB61))/AB62)</f>
        <v>5.1722766820444304E-3</v>
      </c>
      <c r="AC57" s="322">
        <f>IF(AB57&lt;=0.03,3,IF(AB57&lt;=0.05,1.5,0))</f>
        <v>3</v>
      </c>
      <c r="AD57" s="323">
        <f t="shared" si="4"/>
        <v>1.5263546300241591</v>
      </c>
      <c r="AE57" s="520"/>
      <c r="AF57" s="653">
        <f>IF(AF62=0,"",(SUM(AF58:AF59)-SUM(AF60:AF61))/AF62)</f>
        <v>5.0961389964387562E-3</v>
      </c>
      <c r="AG57" s="322">
        <f>IF(AF57&lt;=0.03,3,IF(AF57&lt;=0.05,1.5,0))</f>
        <v>3</v>
      </c>
      <c r="AH57" s="653">
        <f>IF(AH62=0,"",(SUM(AH58:AH59)-SUM(AH60:AH61))/AH62)</f>
        <v>1.090762846705351E-2</v>
      </c>
      <c r="AI57" s="322">
        <f>IF(AH57&lt;=0.03,3,IF(AH57&lt;=0.05,1.5,0))</f>
        <v>3</v>
      </c>
      <c r="AJ57" s="323">
        <f t="shared" si="5"/>
        <v>1.1403710681117398</v>
      </c>
      <c r="AK57" s="520"/>
      <c r="AL57" s="653">
        <f>IF(AL62=0,"",(SUM(AL58:AL59)-SUM(AL60:AL61))/AL62)</f>
        <v>5.9045566374478558E-3</v>
      </c>
      <c r="AM57" s="322">
        <f>IF(AL57&lt;=0.03,3,IF(AL57&lt;=0.05,1.5,0))</f>
        <v>3</v>
      </c>
      <c r="AN57" s="653">
        <f>IF(AN62=0,"",(SUM(AN58:AN59)-SUM(AN60:AN61))/AN62)</f>
        <v>1.1537771033121437E-2</v>
      </c>
      <c r="AO57" s="322">
        <f>IF(AN57&lt;=0.03,3,IF(AN57&lt;=0.05,1.5,0))</f>
        <v>3</v>
      </c>
      <c r="AP57" s="323">
        <f t="shared" si="6"/>
        <v>0.95404528088470353</v>
      </c>
      <c r="AQ57" s="520"/>
      <c r="AR57" s="653">
        <f>IF(AR62=0,"",(SUM(AR58:AR59)-SUM(AR60:AR61))/AR62)</f>
        <v>2.5311812827749198E-3</v>
      </c>
      <c r="AS57" s="322">
        <f>IF(AR57&lt;=0.03,3,IF(AR57&lt;=0.05,1.5,0))</f>
        <v>3</v>
      </c>
      <c r="AT57" s="653">
        <f>IF(AT62=0,"",(SUM(AT58:AT59)-SUM(AT60:AT61))/AT62)</f>
        <v>5.9804364999148747E-3</v>
      </c>
      <c r="AU57" s="322">
        <f>IF(AT57&lt;=0.03,3,IF(AT57&lt;=0.05,1.5,0))</f>
        <v>3</v>
      </c>
      <c r="AV57" s="323">
        <f t="shared" si="7"/>
        <v>1.3627057218748693</v>
      </c>
      <c r="AW57" s="520"/>
      <c r="AX57" s="653">
        <f>IF(AX62=0,"",(SUM(AX58:AX59)-SUM(AX60:AX61))/AX62)</f>
        <v>7.299229613539889E-3</v>
      </c>
      <c r="AY57" s="322">
        <f>IF(AX57&lt;=0.03,3,IF(AX57&lt;=0.05,1.5,0))</f>
        <v>3</v>
      </c>
      <c r="AZ57" s="653">
        <f>IF(AZ62=0,"",(SUM(AZ58:AZ59)-SUM(AZ60:AZ61))/AZ62)</f>
        <v>1.1153120266563583E-2</v>
      </c>
      <c r="BA57" s="322">
        <f>IF(AZ57&lt;=0.03,3,IF(AZ57&lt;=0.05,1.5,0))</f>
        <v>3</v>
      </c>
      <c r="BB57" s="323">
        <f t="shared" si="8"/>
        <v>0.52798594606132432</v>
      </c>
      <c r="BC57" s="520"/>
      <c r="BD57" s="653">
        <f>IF(BD62=0,"",(SUM(BD58:BD59)-SUM(BD60:BD61))/BD62)</f>
        <v>2.8658730868272283E-3</v>
      </c>
      <c r="BE57" s="322">
        <f>IF(BD57&lt;=0.03,3,IF(BD57&lt;=0.05,1.5,0))</f>
        <v>3</v>
      </c>
      <c r="BF57" s="653">
        <f>IF(BF62=0,"",(SUM(BF58:BF59)-SUM(BF60:BF61))/BF62)</f>
        <v>5.7908229795783075E-3</v>
      </c>
      <c r="BG57" s="322">
        <f>IF(BF57&lt;=0.03,3,IF(BF57&lt;=0.05,1.5,0))</f>
        <v>3</v>
      </c>
      <c r="BH57" s="323">
        <f t="shared" si="9"/>
        <v>1.0206138946610697</v>
      </c>
      <c r="BI57" s="520"/>
      <c r="BJ57" s="653">
        <f>IF(BJ62=0,"",(SUM(BJ58:BJ59)-SUM(BJ60:BJ61))/BJ62)</f>
        <v>1.8462211442786994E-2</v>
      </c>
      <c r="BK57" s="322">
        <f>IF(BJ57&lt;=0.03,3,IF(BJ57&lt;=0.05,1.5,0))</f>
        <v>3</v>
      </c>
      <c r="BL57" s="653">
        <f>IF(BL62=0,"",(SUM(BL58:BL59)-SUM(BL60:BL61))/BL62)</f>
        <v>2.6145263851801288E-2</v>
      </c>
      <c r="BM57" s="322">
        <f>IF(BL57&lt;=0.03,3,IF(BL57&lt;=0.05,1.5,0))</f>
        <v>3</v>
      </c>
      <c r="BN57" s="323">
        <f t="shared" si="10"/>
        <v>0.41615016883667999</v>
      </c>
      <c r="BO57" s="520"/>
      <c r="BP57" s="653">
        <f>IF(BP62=0,"",(SUM(BP58:BP59)-SUM(BP60:BP61))/BP62)</f>
        <v>3.4495733096535906E-3</v>
      </c>
      <c r="BQ57" s="322">
        <f>IF(BP57&lt;=0.03,3,IF(BP57&lt;=0.05,1.5,0))</f>
        <v>3</v>
      </c>
      <c r="BR57" s="653">
        <f>IF(BR62=0,"",(SUM(BR58:BR59)-SUM(BR60:BR61))/BR62)</f>
        <v>7.4276815430434212E-3</v>
      </c>
      <c r="BS57" s="322">
        <f>IF(BR57&lt;=0.03,3,IF(BR57&lt;=0.05,1.5,0))</f>
        <v>3</v>
      </c>
      <c r="BT57" s="323">
        <f t="shared" si="11"/>
        <v>1.153217478305836</v>
      </c>
      <c r="BU57" s="520"/>
      <c r="BV57" s="653">
        <f>IF(BV62=0,"",(SUM(BV58:BV59)-SUM(BV60:BV61))/BV62)</f>
        <v>3.9464072818684755E-3</v>
      </c>
      <c r="BW57" s="322">
        <f>IF(BV57&lt;=0.03,3,IF(BV57&lt;=0.05,1.5,0))</f>
        <v>3</v>
      </c>
      <c r="BX57" s="653">
        <f>IF(BX62=0,"",(SUM(BX58:BX59)-SUM(BX60:BX61))/BX62)</f>
        <v>8.612847783948701E-3</v>
      </c>
      <c r="BY57" s="322">
        <f>IF(BX57&lt;=0.03,3,IF(BX57&lt;=0.05,1.5,0))</f>
        <v>3</v>
      </c>
      <c r="BZ57" s="323">
        <f t="shared" si="12"/>
        <v>1.1824528409725721</v>
      </c>
      <c r="CA57" s="315"/>
      <c r="CD57" s="531" t="s">
        <v>1829</v>
      </c>
      <c r="CE57" s="531">
        <v>0</v>
      </c>
      <c r="CF57" s="532">
        <f t="shared" si="49"/>
        <v>3</v>
      </c>
      <c r="CG57" s="531">
        <v>1</v>
      </c>
      <c r="CH57" s="532">
        <f t="shared" si="54"/>
        <v>3</v>
      </c>
      <c r="CI57" s="531">
        <v>1</v>
      </c>
      <c r="CJ57" s="532">
        <f t="shared" si="55"/>
        <v>3</v>
      </c>
      <c r="CK57" s="531">
        <v>1</v>
      </c>
      <c r="CL57" s="532">
        <f t="shared" si="56"/>
        <v>3</v>
      </c>
      <c r="CM57" s="531">
        <v>1</v>
      </c>
      <c r="CN57" s="532">
        <f t="shared" si="57"/>
        <v>3</v>
      </c>
      <c r="CO57" s="531">
        <v>1</v>
      </c>
      <c r="CP57" s="532">
        <f t="shared" si="58"/>
        <v>3</v>
      </c>
      <c r="CQ57" s="531">
        <v>0</v>
      </c>
      <c r="CR57" s="532">
        <f t="shared" si="43"/>
        <v>3</v>
      </c>
      <c r="CS57" s="531">
        <f t="shared" si="26"/>
        <v>23</v>
      </c>
      <c r="CT57" s="313"/>
      <c r="CU57" s="313"/>
      <c r="CV57" s="313"/>
      <c r="CW57" s="313"/>
      <c r="CX57" s="313"/>
      <c r="CY57" s="313"/>
      <c r="CZ57" s="313"/>
      <c r="DA57" s="313"/>
      <c r="DB57" s="313"/>
      <c r="DC57" s="313"/>
    </row>
    <row r="58" spans="1:107" s="2" customFormat="1" ht="14.25">
      <c r="A58" s="1554"/>
      <c r="B58" s="1556"/>
      <c r="C58" s="400">
        <v>26.1</v>
      </c>
      <c r="D58" s="1028" t="s">
        <v>1293</v>
      </c>
      <c r="E58" s="492" t="s">
        <v>1831</v>
      </c>
      <c r="F58" s="472" t="s">
        <v>1294</v>
      </c>
      <c r="G58" s="473"/>
      <c r="H58" s="646"/>
      <c r="I58" s="473"/>
      <c r="J58" s="658">
        <f t="shared" si="40"/>
        <v>84358817.043000013</v>
      </c>
      <c r="K58" s="664"/>
      <c r="L58" s="658">
        <f t="shared" si="41"/>
        <v>151177895.90100002</v>
      </c>
      <c r="M58" s="511"/>
      <c r="N58" s="512">
        <f t="shared" si="22"/>
        <v>0</v>
      </c>
      <c r="O58" s="510">
        <f t="shared" si="42"/>
        <v>0</v>
      </c>
      <c r="P58" s="510">
        <f t="shared" si="23"/>
        <v>0</v>
      </c>
      <c r="Q58" s="833">
        <f t="shared" si="24"/>
        <v>0</v>
      </c>
      <c r="R58" s="832">
        <f t="shared" si="25"/>
        <v>0</v>
      </c>
      <c r="S58" s="520"/>
      <c r="T58" s="338">
        <v>12119576.99</v>
      </c>
      <c r="U58" s="322"/>
      <c r="V58" s="338">
        <v>29954183.630000003</v>
      </c>
      <c r="W58" s="322"/>
      <c r="X58" s="323">
        <f t="shared" si="3"/>
        <v>1.4715535579101102</v>
      </c>
      <c r="Y58" s="520"/>
      <c r="Z58" s="338">
        <v>61867821.960000001</v>
      </c>
      <c r="AA58" s="623"/>
      <c r="AB58" s="338">
        <v>148025435.88</v>
      </c>
      <c r="AC58" s="623"/>
      <c r="AD58" s="323">
        <f t="shared" si="4"/>
        <v>1.3926078402388935</v>
      </c>
      <c r="AE58" s="520"/>
      <c r="AF58" s="638">
        <v>105147205.71000001</v>
      </c>
      <c r="AG58" s="623"/>
      <c r="AH58" s="638">
        <v>224863311.17999998</v>
      </c>
      <c r="AI58" s="623"/>
      <c r="AJ58" s="323">
        <f t="shared" si="5"/>
        <v>1.1385571747877119</v>
      </c>
      <c r="AK58" s="520"/>
      <c r="AL58" s="638">
        <v>26387271.960000001</v>
      </c>
      <c r="AM58" s="623"/>
      <c r="AN58" s="638">
        <v>51247919.869999997</v>
      </c>
      <c r="AO58" s="623"/>
      <c r="AP58" s="323">
        <f t="shared" si="6"/>
        <v>0.94214543844038956</v>
      </c>
      <c r="AQ58" s="520"/>
      <c r="AR58" s="638">
        <v>81831484.520000011</v>
      </c>
      <c r="AS58" s="623"/>
      <c r="AT58" s="638">
        <v>188532617.09</v>
      </c>
      <c r="AU58" s="623"/>
      <c r="AV58" s="323">
        <f t="shared" si="7"/>
        <v>1.3039129522808759</v>
      </c>
      <c r="AW58" s="520"/>
      <c r="AX58" s="638">
        <v>209012942.69</v>
      </c>
      <c r="AY58" s="623"/>
      <c r="AZ58" s="638">
        <v>329730758.39999998</v>
      </c>
      <c r="BA58" s="623"/>
      <c r="BB58" s="323">
        <f t="shared" si="8"/>
        <v>0.577561437853368</v>
      </c>
      <c r="BC58" s="520"/>
      <c r="BD58" s="638">
        <v>29105203.09</v>
      </c>
      <c r="BE58" s="623"/>
      <c r="BF58" s="638">
        <v>59650016.049999997</v>
      </c>
      <c r="BG58" s="623"/>
      <c r="BH58" s="323">
        <f t="shared" si="9"/>
        <v>1.0494622856795877</v>
      </c>
      <c r="BI58" s="520"/>
      <c r="BJ58" s="638">
        <v>273691125.49000001</v>
      </c>
      <c r="BK58" s="623"/>
      <c r="BL58" s="638">
        <v>388877996.45999998</v>
      </c>
      <c r="BM58" s="623"/>
      <c r="BN58" s="323">
        <f t="shared" si="10"/>
        <v>0.42086447181572439</v>
      </c>
      <c r="BO58" s="520"/>
      <c r="BP58" s="638">
        <v>17029751.490000002</v>
      </c>
      <c r="BQ58" s="623"/>
      <c r="BR58" s="638">
        <v>36394105.489999995</v>
      </c>
      <c r="BS58" s="623"/>
      <c r="BT58" s="323">
        <f t="shared" si="11"/>
        <v>1.1370896405253408</v>
      </c>
      <c r="BU58" s="520"/>
      <c r="BV58" s="638">
        <v>27395786.529999997</v>
      </c>
      <c r="BW58" s="623"/>
      <c r="BX58" s="638">
        <v>54502614.960000001</v>
      </c>
      <c r="BY58" s="623"/>
      <c r="BZ58" s="323">
        <f t="shared" si="12"/>
        <v>0.98945246198047387</v>
      </c>
      <c r="CA58" s="315"/>
      <c r="CD58" s="531"/>
      <c r="CE58" s="531">
        <v>0</v>
      </c>
      <c r="CF58" s="532">
        <f t="shared" si="49"/>
        <v>0</v>
      </c>
      <c r="CG58" s="531">
        <v>0</v>
      </c>
      <c r="CH58" s="532">
        <f t="shared" si="54"/>
        <v>0</v>
      </c>
      <c r="CI58" s="531">
        <v>0</v>
      </c>
      <c r="CJ58" s="532">
        <f t="shared" si="55"/>
        <v>0</v>
      </c>
      <c r="CK58" s="531">
        <v>0</v>
      </c>
      <c r="CL58" s="532">
        <f t="shared" si="56"/>
        <v>0</v>
      </c>
      <c r="CM58" s="531">
        <v>0</v>
      </c>
      <c r="CN58" s="532">
        <f t="shared" si="57"/>
        <v>0</v>
      </c>
      <c r="CO58" s="531">
        <v>0</v>
      </c>
      <c r="CP58" s="532">
        <f t="shared" si="58"/>
        <v>0</v>
      </c>
      <c r="CQ58" s="531">
        <v>0</v>
      </c>
      <c r="CR58" s="532">
        <f t="shared" si="43"/>
        <v>0</v>
      </c>
      <c r="CS58" s="531">
        <f t="shared" si="26"/>
        <v>0</v>
      </c>
      <c r="CT58" s="313"/>
      <c r="CU58" s="313"/>
      <c r="CV58" s="313"/>
      <c r="CW58" s="313"/>
      <c r="CX58" s="313"/>
      <c r="CY58" s="313"/>
      <c r="CZ58" s="313"/>
      <c r="DA58" s="313"/>
      <c r="DB58" s="313"/>
      <c r="DC58" s="313"/>
    </row>
    <row r="59" spans="1:107" s="2" customFormat="1" ht="14.25">
      <c r="A59" s="1554"/>
      <c r="B59" s="1556"/>
      <c r="C59" s="400">
        <v>26.2</v>
      </c>
      <c r="D59" s="1028" t="s">
        <v>1295</v>
      </c>
      <c r="E59" s="492" t="s">
        <v>1831</v>
      </c>
      <c r="F59" s="472" t="s">
        <v>1294</v>
      </c>
      <c r="G59" s="473"/>
      <c r="H59" s="646"/>
      <c r="I59" s="473"/>
      <c r="J59" s="658">
        <f t="shared" si="40"/>
        <v>623552.5</v>
      </c>
      <c r="K59" s="664"/>
      <c r="L59" s="658">
        <f t="shared" si="41"/>
        <v>1452256.6</v>
      </c>
      <c r="M59" s="511"/>
      <c r="N59" s="512">
        <f t="shared" si="22"/>
        <v>0</v>
      </c>
      <c r="O59" s="510">
        <f t="shared" si="42"/>
        <v>0</v>
      </c>
      <c r="P59" s="510">
        <f t="shared" si="23"/>
        <v>0</v>
      </c>
      <c r="Q59" s="833">
        <f t="shared" si="24"/>
        <v>0</v>
      </c>
      <c r="R59" s="832">
        <f t="shared" si="25"/>
        <v>0</v>
      </c>
      <c r="S59" s="520"/>
      <c r="T59" s="338">
        <v>0</v>
      </c>
      <c r="U59" s="322"/>
      <c r="V59" s="338">
        <v>2448240</v>
      </c>
      <c r="W59" s="322"/>
      <c r="X59" s="323">
        <f t="shared" si="3"/>
        <v>1</v>
      </c>
      <c r="Y59" s="520"/>
      <c r="Z59" s="338">
        <v>1150390</v>
      </c>
      <c r="AA59" s="623"/>
      <c r="AB59" s="338">
        <v>2268870</v>
      </c>
      <c r="AC59" s="623"/>
      <c r="AD59" s="323">
        <f t="shared" si="4"/>
        <v>0.97226158085518821</v>
      </c>
      <c r="AE59" s="520"/>
      <c r="AF59" s="638">
        <v>879347</v>
      </c>
      <c r="AG59" s="623"/>
      <c r="AH59" s="638">
        <v>3073410</v>
      </c>
      <c r="AI59" s="623"/>
      <c r="AJ59" s="323">
        <f t="shared" si="5"/>
        <v>2.495104890333395</v>
      </c>
      <c r="AK59" s="520"/>
      <c r="AL59" s="638">
        <v>0</v>
      </c>
      <c r="AM59" s="623"/>
      <c r="AN59" s="638">
        <v>0</v>
      </c>
      <c r="AO59" s="623"/>
      <c r="AP59" s="323">
        <f t="shared" si="6"/>
        <v>0</v>
      </c>
      <c r="AQ59" s="520"/>
      <c r="AR59" s="638">
        <v>2702812</v>
      </c>
      <c r="AS59" s="623"/>
      <c r="AT59" s="638">
        <v>4123030</v>
      </c>
      <c r="AU59" s="623"/>
      <c r="AV59" s="323">
        <f t="shared" si="7"/>
        <v>0.52545941042144251</v>
      </c>
      <c r="AW59" s="520"/>
      <c r="AX59" s="638">
        <v>862976</v>
      </c>
      <c r="AY59" s="623"/>
      <c r="AZ59" s="638">
        <v>1124966</v>
      </c>
      <c r="BA59" s="623"/>
      <c r="BB59" s="323">
        <f t="shared" si="8"/>
        <v>0.30358897582319777</v>
      </c>
      <c r="BC59" s="520"/>
      <c r="BD59" s="638">
        <v>640000</v>
      </c>
      <c r="BE59" s="623"/>
      <c r="BF59" s="638">
        <v>640000</v>
      </c>
      <c r="BG59" s="623"/>
      <c r="BH59" s="323">
        <f t="shared" si="9"/>
        <v>0</v>
      </c>
      <c r="BI59" s="520"/>
      <c r="BJ59" s="638">
        <v>0</v>
      </c>
      <c r="BK59" s="623"/>
      <c r="BL59" s="638">
        <v>377000</v>
      </c>
      <c r="BM59" s="623"/>
      <c r="BN59" s="323">
        <f t="shared" si="10"/>
        <v>1</v>
      </c>
      <c r="BO59" s="520"/>
      <c r="BP59" s="638">
        <v>0</v>
      </c>
      <c r="BQ59" s="623"/>
      <c r="BR59" s="638">
        <v>467050</v>
      </c>
      <c r="BS59" s="623"/>
      <c r="BT59" s="323">
        <f t="shared" si="11"/>
        <v>1</v>
      </c>
      <c r="BU59" s="520"/>
      <c r="BV59" s="638">
        <v>0</v>
      </c>
      <c r="BW59" s="623"/>
      <c r="BX59" s="638">
        <v>0</v>
      </c>
      <c r="BY59" s="623"/>
      <c r="BZ59" s="323">
        <f t="shared" si="12"/>
        <v>0</v>
      </c>
      <c r="CA59" s="315"/>
      <c r="CD59" s="531"/>
      <c r="CE59" s="531">
        <v>0</v>
      </c>
      <c r="CF59" s="532">
        <f t="shared" si="49"/>
        <v>0</v>
      </c>
      <c r="CG59" s="531">
        <v>0</v>
      </c>
      <c r="CH59" s="532">
        <f t="shared" si="54"/>
        <v>0</v>
      </c>
      <c r="CI59" s="531">
        <v>0</v>
      </c>
      <c r="CJ59" s="532">
        <f t="shared" si="55"/>
        <v>0</v>
      </c>
      <c r="CK59" s="531">
        <v>0</v>
      </c>
      <c r="CL59" s="532">
        <f t="shared" si="56"/>
        <v>0</v>
      </c>
      <c r="CM59" s="531">
        <v>0</v>
      </c>
      <c r="CN59" s="532">
        <f t="shared" si="57"/>
        <v>0</v>
      </c>
      <c r="CO59" s="531">
        <v>0</v>
      </c>
      <c r="CP59" s="532">
        <f t="shared" si="58"/>
        <v>0</v>
      </c>
      <c r="CQ59" s="531">
        <v>0</v>
      </c>
      <c r="CR59" s="532">
        <f t="shared" si="43"/>
        <v>0</v>
      </c>
      <c r="CS59" s="531">
        <f t="shared" si="26"/>
        <v>0</v>
      </c>
      <c r="CT59" s="313"/>
      <c r="CU59" s="313"/>
      <c r="CV59" s="313"/>
      <c r="CW59" s="313"/>
      <c r="CX59" s="313"/>
      <c r="CY59" s="313"/>
      <c r="CZ59" s="313"/>
      <c r="DA59" s="313"/>
      <c r="DB59" s="313"/>
      <c r="DC59" s="313"/>
    </row>
    <row r="60" spans="1:107" s="2" customFormat="1" ht="14.25">
      <c r="A60" s="1554"/>
      <c r="B60" s="1556"/>
      <c r="C60" s="400">
        <v>26.3</v>
      </c>
      <c r="D60" s="1028" t="s">
        <v>1296</v>
      </c>
      <c r="E60" s="492" t="s">
        <v>1832</v>
      </c>
      <c r="F60" s="472" t="s">
        <v>1294</v>
      </c>
      <c r="G60" s="473"/>
      <c r="H60" s="646"/>
      <c r="I60" s="473"/>
      <c r="J60" s="658">
        <f t="shared" si="40"/>
        <v>11728381.344000001</v>
      </c>
      <c r="K60" s="664"/>
      <c r="L60" s="658">
        <f t="shared" si="41"/>
        <v>22394613.527000003</v>
      </c>
      <c r="M60" s="511"/>
      <c r="N60" s="512">
        <f t="shared" si="22"/>
        <v>0</v>
      </c>
      <c r="O60" s="510">
        <f t="shared" si="42"/>
        <v>0</v>
      </c>
      <c r="P60" s="510">
        <f t="shared" si="23"/>
        <v>0</v>
      </c>
      <c r="Q60" s="833">
        <f t="shared" si="24"/>
        <v>0</v>
      </c>
      <c r="R60" s="832">
        <f t="shared" si="25"/>
        <v>0</v>
      </c>
      <c r="S60" s="520"/>
      <c r="T60" s="338">
        <v>4994470</v>
      </c>
      <c r="U60" s="322"/>
      <c r="V60" s="338">
        <v>7286870</v>
      </c>
      <c r="W60" s="322"/>
      <c r="X60" s="323">
        <f t="shared" si="3"/>
        <v>0.45898764033020512</v>
      </c>
      <c r="Y60" s="520"/>
      <c r="Z60" s="338">
        <v>18451956.309999999</v>
      </c>
      <c r="AA60" s="623"/>
      <c r="AB60" s="338">
        <v>36527938.849999994</v>
      </c>
      <c r="AC60" s="623"/>
      <c r="AD60" s="323">
        <f t="shared" si="4"/>
        <v>0.97962417839694083</v>
      </c>
      <c r="AE60" s="520"/>
      <c r="AF60" s="638">
        <v>16663051.08</v>
      </c>
      <c r="AG60" s="623"/>
      <c r="AH60" s="638">
        <v>40169148.380000003</v>
      </c>
      <c r="AI60" s="623"/>
      <c r="AJ60" s="323">
        <f t="shared" si="5"/>
        <v>1.4106718623826007</v>
      </c>
      <c r="AK60" s="520"/>
      <c r="AL60" s="638">
        <v>2698232</v>
      </c>
      <c r="AM60" s="623"/>
      <c r="AN60" s="638">
        <v>5632216</v>
      </c>
      <c r="AO60" s="623"/>
      <c r="AP60" s="323">
        <f t="shared" si="6"/>
        <v>1.0873727685388062</v>
      </c>
      <c r="AQ60" s="520"/>
      <c r="AR60" s="638">
        <v>15880737.24</v>
      </c>
      <c r="AS60" s="623"/>
      <c r="AT60" s="638">
        <v>30699813.219999999</v>
      </c>
      <c r="AU60" s="623"/>
      <c r="AV60" s="323">
        <f t="shared" si="7"/>
        <v>0.93314786058383259</v>
      </c>
      <c r="AW60" s="520"/>
      <c r="AX60" s="638">
        <v>19018301.690000001</v>
      </c>
      <c r="AY60" s="623"/>
      <c r="AZ60" s="638">
        <v>38667694.310000002</v>
      </c>
      <c r="BA60" s="623"/>
      <c r="BB60" s="323">
        <f t="shared" si="8"/>
        <v>1.0331833483497546</v>
      </c>
      <c r="BC60" s="520"/>
      <c r="BD60" s="638">
        <v>5912481.4799999995</v>
      </c>
      <c r="BE60" s="623"/>
      <c r="BF60" s="638">
        <v>12634149.249999998</v>
      </c>
      <c r="BG60" s="623"/>
      <c r="BH60" s="323">
        <f t="shared" si="9"/>
        <v>1.1368606891602475</v>
      </c>
      <c r="BI60" s="520"/>
      <c r="BJ60" s="638">
        <v>21732031.640000001</v>
      </c>
      <c r="BK60" s="623"/>
      <c r="BL60" s="638">
        <v>30748857.260000002</v>
      </c>
      <c r="BM60" s="623"/>
      <c r="BN60" s="323">
        <f t="shared" si="10"/>
        <v>0.41490946494867154</v>
      </c>
      <c r="BO60" s="520"/>
      <c r="BP60" s="638">
        <v>2853252</v>
      </c>
      <c r="BQ60" s="623"/>
      <c r="BR60" s="638">
        <v>6239364</v>
      </c>
      <c r="BS60" s="623"/>
      <c r="BT60" s="323">
        <f t="shared" si="11"/>
        <v>1.1867553233994053</v>
      </c>
      <c r="BU60" s="520"/>
      <c r="BV60" s="638">
        <v>9079300</v>
      </c>
      <c r="BW60" s="623"/>
      <c r="BX60" s="638">
        <v>15340084</v>
      </c>
      <c r="BY60" s="623"/>
      <c r="BZ60" s="323">
        <f t="shared" si="12"/>
        <v>0.68956681682508569</v>
      </c>
      <c r="CA60" s="315"/>
      <c r="CD60" s="531"/>
      <c r="CE60" s="531">
        <v>0</v>
      </c>
      <c r="CF60" s="532">
        <f t="shared" si="49"/>
        <v>0</v>
      </c>
      <c r="CG60" s="531">
        <v>0</v>
      </c>
      <c r="CH60" s="532">
        <f t="shared" si="54"/>
        <v>0</v>
      </c>
      <c r="CI60" s="531">
        <v>0</v>
      </c>
      <c r="CJ60" s="532">
        <f t="shared" si="55"/>
        <v>0</v>
      </c>
      <c r="CK60" s="531">
        <v>0</v>
      </c>
      <c r="CL60" s="532">
        <f t="shared" si="56"/>
        <v>0</v>
      </c>
      <c r="CM60" s="531">
        <v>0</v>
      </c>
      <c r="CN60" s="532">
        <f t="shared" si="57"/>
        <v>0</v>
      </c>
      <c r="CO60" s="531">
        <v>0</v>
      </c>
      <c r="CP60" s="532">
        <f t="shared" si="58"/>
        <v>0</v>
      </c>
      <c r="CQ60" s="531">
        <v>0</v>
      </c>
      <c r="CR60" s="532">
        <f t="shared" si="43"/>
        <v>0</v>
      </c>
      <c r="CS60" s="531">
        <f t="shared" si="26"/>
        <v>0</v>
      </c>
      <c r="CT60" s="313"/>
      <c r="CU60" s="313"/>
      <c r="CV60" s="313"/>
      <c r="CW60" s="313"/>
      <c r="CX60" s="313"/>
      <c r="CY60" s="313"/>
      <c r="CZ60" s="313"/>
      <c r="DA60" s="313"/>
      <c r="DB60" s="313"/>
      <c r="DC60" s="313"/>
    </row>
    <row r="61" spans="1:107" s="2" customFormat="1" ht="14.25">
      <c r="A61" s="1554"/>
      <c r="B61" s="1556"/>
      <c r="C61" s="400">
        <v>26.4</v>
      </c>
      <c r="D61" s="1028" t="s">
        <v>1297</v>
      </c>
      <c r="E61" s="492" t="s">
        <v>1832</v>
      </c>
      <c r="F61" s="472" t="s">
        <v>1294</v>
      </c>
      <c r="G61" s="473"/>
      <c r="H61" s="646"/>
      <c r="I61" s="473"/>
      <c r="J61" s="658">
        <f t="shared" si="40"/>
        <v>1749680.6</v>
      </c>
      <c r="K61" s="664"/>
      <c r="L61" s="658">
        <f t="shared" si="41"/>
        <v>3259372.1</v>
      </c>
      <c r="M61" s="511"/>
      <c r="N61" s="512">
        <f t="shared" si="22"/>
        <v>0</v>
      </c>
      <c r="O61" s="510">
        <f t="shared" si="42"/>
        <v>0</v>
      </c>
      <c r="P61" s="510">
        <f t="shared" si="23"/>
        <v>0</v>
      </c>
      <c r="Q61" s="833">
        <f t="shared" si="24"/>
        <v>0</v>
      </c>
      <c r="R61" s="832">
        <f t="shared" si="25"/>
        <v>0</v>
      </c>
      <c r="S61" s="520"/>
      <c r="T61" s="338">
        <v>449602</v>
      </c>
      <c r="U61" s="322"/>
      <c r="V61" s="338">
        <v>1478746</v>
      </c>
      <c r="W61" s="322"/>
      <c r="X61" s="323">
        <f t="shared" si="3"/>
        <v>2.2890111698791373</v>
      </c>
      <c r="Y61" s="520"/>
      <c r="Z61" s="338">
        <v>1824206</v>
      </c>
      <c r="AA61" s="623"/>
      <c r="AB61" s="338">
        <v>5784792</v>
      </c>
      <c r="AC61" s="623"/>
      <c r="AD61" s="323">
        <f t="shared" si="4"/>
        <v>2.1711286992806733</v>
      </c>
      <c r="AE61" s="520"/>
      <c r="AF61" s="638">
        <v>3916246</v>
      </c>
      <c r="AG61" s="623"/>
      <c r="AH61" s="638">
        <v>4878739</v>
      </c>
      <c r="AI61" s="623"/>
      <c r="AJ61" s="323">
        <f t="shared" si="5"/>
        <v>0.24576929028462469</v>
      </c>
      <c r="AK61" s="520"/>
      <c r="AL61" s="638">
        <v>778530</v>
      </c>
      <c r="AM61" s="623"/>
      <c r="AN61" s="638">
        <v>847530</v>
      </c>
      <c r="AO61" s="623"/>
      <c r="AP61" s="323">
        <f t="shared" si="6"/>
        <v>8.8628569226619325E-2</v>
      </c>
      <c r="AQ61" s="520"/>
      <c r="AR61" s="638">
        <v>2657194</v>
      </c>
      <c r="AS61" s="623"/>
      <c r="AT61" s="638">
        <v>6025844</v>
      </c>
      <c r="AU61" s="623"/>
      <c r="AV61" s="323">
        <f t="shared" si="7"/>
        <v>1.2677471046525017</v>
      </c>
      <c r="AW61" s="520"/>
      <c r="AX61" s="638">
        <v>3207588</v>
      </c>
      <c r="AY61" s="623"/>
      <c r="AZ61" s="638">
        <v>5461423</v>
      </c>
      <c r="BA61" s="623"/>
      <c r="BB61" s="323">
        <f t="shared" si="8"/>
        <v>0.7026572614687423</v>
      </c>
      <c r="BC61" s="520"/>
      <c r="BD61" s="638">
        <v>547574</v>
      </c>
      <c r="BE61" s="623"/>
      <c r="BF61" s="638">
        <v>605574</v>
      </c>
      <c r="BG61" s="623"/>
      <c r="BH61" s="323">
        <f t="shared" si="9"/>
        <v>0.10592175669407244</v>
      </c>
      <c r="BI61" s="520"/>
      <c r="BJ61" s="638">
        <v>3196666</v>
      </c>
      <c r="BK61" s="623"/>
      <c r="BL61" s="638">
        <v>6221185</v>
      </c>
      <c r="BM61" s="623"/>
      <c r="BN61" s="323">
        <f t="shared" si="10"/>
        <v>0.94614795540103347</v>
      </c>
      <c r="BO61" s="520"/>
      <c r="BP61" s="638">
        <v>20200</v>
      </c>
      <c r="BQ61" s="623"/>
      <c r="BR61" s="638">
        <v>140200</v>
      </c>
      <c r="BS61" s="623"/>
      <c r="BT61" s="323">
        <f t="shared" si="11"/>
        <v>5.9405940594059405</v>
      </c>
      <c r="BU61" s="520"/>
      <c r="BV61" s="638">
        <v>899000</v>
      </c>
      <c r="BW61" s="623"/>
      <c r="BX61" s="638">
        <v>1149688</v>
      </c>
      <c r="BY61" s="623"/>
      <c r="BZ61" s="323">
        <f t="shared" si="12"/>
        <v>0.27885205784204681</v>
      </c>
      <c r="CA61" s="315"/>
      <c r="CD61" s="531"/>
      <c r="CE61" s="531">
        <v>0</v>
      </c>
      <c r="CF61" s="532">
        <f t="shared" si="49"/>
        <v>0</v>
      </c>
      <c r="CG61" s="531">
        <v>0</v>
      </c>
      <c r="CH61" s="532">
        <f t="shared" si="54"/>
        <v>0</v>
      </c>
      <c r="CI61" s="531">
        <v>0</v>
      </c>
      <c r="CJ61" s="532">
        <f t="shared" si="55"/>
        <v>0</v>
      </c>
      <c r="CK61" s="531">
        <v>0</v>
      </c>
      <c r="CL61" s="532">
        <f t="shared" si="56"/>
        <v>0</v>
      </c>
      <c r="CM61" s="531">
        <v>0</v>
      </c>
      <c r="CN61" s="532">
        <f t="shared" si="57"/>
        <v>0</v>
      </c>
      <c r="CO61" s="531">
        <v>0</v>
      </c>
      <c r="CP61" s="532">
        <f t="shared" si="58"/>
        <v>0</v>
      </c>
      <c r="CQ61" s="531">
        <v>0</v>
      </c>
      <c r="CR61" s="532">
        <f t="shared" si="43"/>
        <v>0</v>
      </c>
      <c r="CS61" s="531">
        <f t="shared" si="26"/>
        <v>0</v>
      </c>
      <c r="CT61" s="313"/>
      <c r="CU61" s="313"/>
      <c r="CV61" s="313"/>
      <c r="CW61" s="313"/>
      <c r="CX61" s="313"/>
      <c r="CY61" s="313"/>
      <c r="CZ61" s="313"/>
      <c r="DA61" s="313"/>
      <c r="DB61" s="313"/>
      <c r="DC61" s="313"/>
    </row>
    <row r="62" spans="1:107" s="2" customFormat="1" ht="14.25">
      <c r="A62" s="1554"/>
      <c r="B62" s="1556"/>
      <c r="C62" s="400">
        <v>26.5</v>
      </c>
      <c r="D62" s="1028" t="s">
        <v>1298</v>
      </c>
      <c r="E62" s="492" t="s">
        <v>1832</v>
      </c>
      <c r="F62" s="472" t="s">
        <v>1294</v>
      </c>
      <c r="G62" s="473"/>
      <c r="H62" s="646"/>
      <c r="I62" s="473"/>
      <c r="J62" s="658">
        <f t="shared" si="40"/>
        <v>13578303233.369001</v>
      </c>
      <c r="K62" s="664"/>
      <c r="L62" s="658">
        <f t="shared" si="41"/>
        <v>13578303233.369001</v>
      </c>
      <c r="M62" s="511"/>
      <c r="N62" s="512">
        <f t="shared" si="22"/>
        <v>0</v>
      </c>
      <c r="O62" s="510">
        <f t="shared" si="42"/>
        <v>0</v>
      </c>
      <c r="P62" s="510">
        <f t="shared" si="23"/>
        <v>0</v>
      </c>
      <c r="Q62" s="833">
        <f t="shared" si="24"/>
        <v>0</v>
      </c>
      <c r="R62" s="832">
        <f t="shared" si="25"/>
        <v>0</v>
      </c>
      <c r="S62" s="520"/>
      <c r="T62" s="655">
        <v>12360897730.630001</v>
      </c>
      <c r="U62" s="340"/>
      <c r="V62" s="655">
        <v>12360897730.630001</v>
      </c>
      <c r="W62" s="340"/>
      <c r="X62" s="323">
        <f t="shared" si="3"/>
        <v>0</v>
      </c>
      <c r="Y62" s="520"/>
      <c r="Z62" s="338">
        <v>20876991249.299999</v>
      </c>
      <c r="AA62" s="623"/>
      <c r="AB62" s="338">
        <v>20876991249.299999</v>
      </c>
      <c r="AC62" s="623"/>
      <c r="AD62" s="323">
        <f t="shared" si="4"/>
        <v>0</v>
      </c>
      <c r="AE62" s="520"/>
      <c r="AF62" s="638">
        <v>16767057509.559999</v>
      </c>
      <c r="AG62" s="322"/>
      <c r="AH62" s="638">
        <v>16767057509.559999</v>
      </c>
      <c r="AI62" s="322"/>
      <c r="AJ62" s="323">
        <f t="shared" si="5"/>
        <v>0</v>
      </c>
      <c r="AK62" s="520"/>
      <c r="AL62" s="638">
        <v>3880140604.4099998</v>
      </c>
      <c r="AM62" s="623"/>
      <c r="AN62" s="638">
        <v>3880140604.4099998</v>
      </c>
      <c r="AO62" s="623"/>
      <c r="AP62" s="323">
        <f t="shared" si="6"/>
        <v>0</v>
      </c>
      <c r="AQ62" s="520"/>
      <c r="AR62" s="638">
        <v>26073345962.66</v>
      </c>
      <c r="AS62" s="322"/>
      <c r="AT62" s="638">
        <v>26073345962.66</v>
      </c>
      <c r="AU62" s="322"/>
      <c r="AV62" s="323">
        <f t="shared" si="7"/>
        <v>0</v>
      </c>
      <c r="AW62" s="520"/>
      <c r="AX62" s="638">
        <v>25708196472.119999</v>
      </c>
      <c r="AY62" s="623"/>
      <c r="AZ62" s="638">
        <v>25708196472.119999</v>
      </c>
      <c r="BA62" s="623"/>
      <c r="BB62" s="323">
        <f t="shared" si="8"/>
        <v>0</v>
      </c>
      <c r="BC62" s="520"/>
      <c r="BD62" s="638">
        <v>8124975148.7700005</v>
      </c>
      <c r="BE62" s="322"/>
      <c r="BF62" s="638">
        <v>8124975148.7700005</v>
      </c>
      <c r="BG62" s="322"/>
      <c r="BH62" s="323">
        <f t="shared" si="9"/>
        <v>0</v>
      </c>
      <c r="BI62" s="520"/>
      <c r="BJ62" s="638">
        <v>13474140333.67</v>
      </c>
      <c r="BK62" s="623"/>
      <c r="BL62" s="638">
        <v>13474140333.67</v>
      </c>
      <c r="BM62" s="623"/>
      <c r="BN62" s="323">
        <f t="shared" si="10"/>
        <v>0</v>
      </c>
      <c r="BO62" s="520"/>
      <c r="BP62" s="638">
        <v>4103782763.6199999</v>
      </c>
      <c r="BQ62" s="322"/>
      <c r="BR62" s="638">
        <v>4103782763.6199999</v>
      </c>
      <c r="BS62" s="322"/>
      <c r="BT62" s="323">
        <f t="shared" si="11"/>
        <v>0</v>
      </c>
      <c r="BU62" s="520"/>
      <c r="BV62" s="638">
        <v>4413504558.9500008</v>
      </c>
      <c r="BW62" s="623"/>
      <c r="BX62" s="638">
        <v>4413504558.9500008</v>
      </c>
      <c r="BY62" s="623"/>
      <c r="BZ62" s="323">
        <f t="shared" si="12"/>
        <v>0</v>
      </c>
      <c r="CA62" s="315"/>
      <c r="CD62" s="531"/>
      <c r="CE62" s="531">
        <v>0</v>
      </c>
      <c r="CF62" s="532">
        <f t="shared" si="49"/>
        <v>0</v>
      </c>
      <c r="CG62" s="531">
        <v>0</v>
      </c>
      <c r="CH62" s="532">
        <f t="shared" si="54"/>
        <v>0</v>
      </c>
      <c r="CI62" s="531">
        <v>0</v>
      </c>
      <c r="CJ62" s="532">
        <f t="shared" si="55"/>
        <v>0</v>
      </c>
      <c r="CK62" s="531">
        <v>0</v>
      </c>
      <c r="CL62" s="532">
        <f t="shared" si="56"/>
        <v>0</v>
      </c>
      <c r="CM62" s="531">
        <v>0</v>
      </c>
      <c r="CN62" s="532">
        <f t="shared" si="57"/>
        <v>0</v>
      </c>
      <c r="CO62" s="531">
        <v>0</v>
      </c>
      <c r="CP62" s="532">
        <f t="shared" si="58"/>
        <v>0</v>
      </c>
      <c r="CQ62" s="531">
        <v>0</v>
      </c>
      <c r="CR62" s="532">
        <f t="shared" si="43"/>
        <v>0</v>
      </c>
      <c r="CS62" s="531">
        <f t="shared" si="26"/>
        <v>0</v>
      </c>
      <c r="CT62" s="313"/>
      <c r="CU62" s="313"/>
      <c r="CV62" s="313"/>
      <c r="CW62" s="313"/>
      <c r="CX62" s="313"/>
      <c r="CY62" s="313"/>
      <c r="CZ62" s="313"/>
      <c r="DA62" s="313"/>
      <c r="DB62" s="313"/>
      <c r="DC62" s="313"/>
    </row>
    <row r="63" spans="1:107" s="2" customFormat="1" ht="14.25">
      <c r="A63" s="1557" t="s">
        <v>1300</v>
      </c>
      <c r="B63" s="1558" t="s">
        <v>1301</v>
      </c>
      <c r="C63" s="23">
        <v>27</v>
      </c>
      <c r="D63" s="329" t="s">
        <v>1299</v>
      </c>
      <c r="E63" s="494"/>
      <c r="F63" s="498"/>
      <c r="G63" s="623" t="s">
        <v>484</v>
      </c>
      <c r="H63" s="334" t="s">
        <v>285</v>
      </c>
      <c r="I63" s="624">
        <v>2</v>
      </c>
      <c r="J63" s="657">
        <f t="shared" si="40"/>
        <v>8.2011999775380364E-4</v>
      </c>
      <c r="K63" s="664">
        <f>AVERAGE(BW63,BQ63,BK63,BE63,AY63,AS63,AM63,AG63,AA63,U63)</f>
        <v>2</v>
      </c>
      <c r="L63" s="657">
        <f t="shared" si="41"/>
        <v>1.0683385269308441E-3</v>
      </c>
      <c r="M63" s="511">
        <f>AVERAGE(BY63,BS63,BM63,BG63,BA63,AU63,AO63,AI63,AC63,W63)</f>
        <v>2</v>
      </c>
      <c r="N63" s="512">
        <f t="shared" si="22"/>
        <v>0</v>
      </c>
      <c r="O63" s="510">
        <f t="shared" si="42"/>
        <v>0</v>
      </c>
      <c r="P63" s="510">
        <f t="shared" si="23"/>
        <v>0</v>
      </c>
      <c r="Q63" s="833">
        <f t="shared" si="24"/>
        <v>0</v>
      </c>
      <c r="R63" s="832">
        <f t="shared" si="25"/>
        <v>0</v>
      </c>
      <c r="S63" s="520"/>
      <c r="T63" s="653">
        <f>T64/T65</f>
        <v>0</v>
      </c>
      <c r="U63" s="322">
        <f>IF(T63&lt;=0.01,2,IF(T63&lt;=0.02,1,0))</f>
        <v>2</v>
      </c>
      <c r="V63" s="653">
        <f>V64/V65</f>
        <v>1.0298661174047373E-3</v>
      </c>
      <c r="W63" s="322">
        <f>IF(V63&lt;=0.01,2,IF(V63&lt;=0.02,1,0))</f>
        <v>2</v>
      </c>
      <c r="X63" s="323">
        <f t="shared" si="3"/>
        <v>1</v>
      </c>
      <c r="Y63" s="520"/>
      <c r="Z63" s="653">
        <f>Z64/Z65</f>
        <v>0</v>
      </c>
      <c r="AA63" s="322">
        <f>IF(Z63&lt;=0.01,2,IF(Z63&lt;=0.02,1,0))</f>
        <v>2</v>
      </c>
      <c r="AB63" s="653">
        <f>AB64/AB65</f>
        <v>0</v>
      </c>
      <c r="AC63" s="322">
        <f>IF(AB63&lt;=0.01,2,IF(AB63&lt;=0.02,1,0))</f>
        <v>2</v>
      </c>
      <c r="AD63" s="323">
        <f t="shared" si="4"/>
        <v>0</v>
      </c>
      <c r="AE63" s="520"/>
      <c r="AF63" s="653">
        <f>AF64/AF65</f>
        <v>9.3984962406015032E-4</v>
      </c>
      <c r="AG63" s="322">
        <f>IF(AF63&lt;=0.01,2,IF(AF63&lt;=0.02,1,0))</f>
        <v>2</v>
      </c>
      <c r="AH63" s="653">
        <f>AH64/AH65</f>
        <v>7.2219547424169476E-4</v>
      </c>
      <c r="AI63" s="322">
        <f>IF(AH63&lt;=0.01,2,IF(AH63&lt;=0.02,1,0))</f>
        <v>2</v>
      </c>
      <c r="AJ63" s="323">
        <f t="shared" si="5"/>
        <v>-0.23158401540683671</v>
      </c>
      <c r="AK63" s="520"/>
      <c r="AL63" s="653">
        <f>AL64/AL65</f>
        <v>6.7658998646820032E-4</v>
      </c>
      <c r="AM63" s="322">
        <f>IF(AL63&lt;=0.01,2,IF(AL63&lt;=0.02,1,0))</f>
        <v>2</v>
      </c>
      <c r="AN63" s="653">
        <f>AN64/AN65</f>
        <v>0</v>
      </c>
      <c r="AO63" s="322">
        <f>IF(AN63&lt;=0.01,2,IF(AN63&lt;=0.02,1,0))</f>
        <v>2</v>
      </c>
      <c r="AP63" s="323">
        <f>IF(AND(AL63=0,AN63&lt;&gt;0),1,IF(AND(AL63=0,AN63=0),0,AN63/AL63-1))</f>
        <v>-1</v>
      </c>
      <c r="AQ63" s="520"/>
      <c r="AR63" s="653">
        <f>AR64/AR65</f>
        <v>1.4753614635585719E-3</v>
      </c>
      <c r="AS63" s="322">
        <f>IF(AR63&lt;=0.01,2,IF(AR63&lt;=0.02,1,0))</f>
        <v>2</v>
      </c>
      <c r="AT63" s="653">
        <f>AT64/AT65</f>
        <v>2.2352612461581448E-3</v>
      </c>
      <c r="AU63" s="322">
        <f>IF(AT63&lt;=0.01,2,IF(AT63&lt;=0.02,1,0))</f>
        <v>2</v>
      </c>
      <c r="AV63" s="323">
        <f t="shared" si="7"/>
        <v>0.51506007264599041</v>
      </c>
      <c r="AW63" s="520"/>
      <c r="AX63" s="653">
        <f>AX64/AX65</f>
        <v>2.861230329041488E-4</v>
      </c>
      <c r="AY63" s="322">
        <f>IF(AX63&lt;=0.01,2,IF(AX63&lt;=0.02,1,0))</f>
        <v>2</v>
      </c>
      <c r="AZ63" s="653">
        <f>AZ64/AZ65</f>
        <v>1.3301409949454642E-3</v>
      </c>
      <c r="BA63" s="322">
        <f>IF(AZ63&lt;=0.01,2,IF(AZ63&lt;=0.02,1,0))</f>
        <v>2</v>
      </c>
      <c r="BB63" s="323">
        <f t="shared" si="8"/>
        <v>3.648842777334397</v>
      </c>
      <c r="BC63" s="520"/>
      <c r="BD63" s="653">
        <f>BD64/BD65</f>
        <v>1.483679525222552E-3</v>
      </c>
      <c r="BE63" s="322">
        <f>IF(BD63&lt;=0.01,2,IF(BD63&lt;=0.02,1,0))</f>
        <v>2</v>
      </c>
      <c r="BF63" s="653">
        <f>BF64/BF65</f>
        <v>0</v>
      </c>
      <c r="BG63" s="322">
        <f>IF(BF63&lt;=0.01,2,IF(BF63&lt;=0.02,1,0))</f>
        <v>2</v>
      </c>
      <c r="BH63" s="323">
        <f t="shared" si="9"/>
        <v>-1</v>
      </c>
      <c r="BI63" s="520"/>
      <c r="BJ63" s="653">
        <f>BJ64/BJ65</f>
        <v>1.3845621322256837E-3</v>
      </c>
      <c r="BK63" s="322">
        <f>IF(BJ63&lt;=0.01,2,IF(BJ63&lt;=0.02,1,0))</f>
        <v>2</v>
      </c>
      <c r="BL63" s="653">
        <f>BL64/BL65</f>
        <v>0</v>
      </c>
      <c r="BM63" s="322">
        <f>IF(BL63&lt;=0.01,2,IF(BL63&lt;=0.02,1,0))</f>
        <v>2</v>
      </c>
      <c r="BN63" s="323">
        <f t="shared" si="10"/>
        <v>-1</v>
      </c>
      <c r="BO63" s="520"/>
      <c r="BP63" s="653">
        <f>BP64/BP65</f>
        <v>0</v>
      </c>
      <c r="BQ63" s="322">
        <f>IF(BP63&lt;=0.01,2,IF(BP63&lt;=0.02,1,0))</f>
        <v>2</v>
      </c>
      <c r="BR63" s="653">
        <f>BR64/BR65</f>
        <v>4.178272980501393E-3</v>
      </c>
      <c r="BS63" s="322">
        <f>IF(BR63&lt;=0.01,2,IF(BR63&lt;=0.02,1,0))</f>
        <v>2</v>
      </c>
      <c r="BT63" s="323">
        <f t="shared" si="11"/>
        <v>1</v>
      </c>
      <c r="BU63" s="520"/>
      <c r="BV63" s="653">
        <f>BV64/BV65</f>
        <v>1.9550342130987292E-3</v>
      </c>
      <c r="BW63" s="322">
        <f>IF(BV63&lt;=0.01,2,IF(BV63&lt;=0.02,1,0))</f>
        <v>2</v>
      </c>
      <c r="BX63" s="653">
        <f>BX64/BX65</f>
        <v>1.1876484560570072E-3</v>
      </c>
      <c r="BY63" s="322">
        <f>IF(BX63&lt;=0.01,2,IF(BX63&lt;=0.02,1,0))</f>
        <v>2</v>
      </c>
      <c r="BZ63" s="323">
        <f t="shared" si="12"/>
        <v>-0.39251781472684077</v>
      </c>
      <c r="CA63" s="315"/>
      <c r="CD63" s="531"/>
      <c r="CE63" s="531">
        <v>1</v>
      </c>
      <c r="CF63" s="532">
        <f t="shared" si="49"/>
        <v>2</v>
      </c>
      <c r="CG63" s="531">
        <v>0</v>
      </c>
      <c r="CH63" s="532">
        <f t="shared" si="54"/>
        <v>2</v>
      </c>
      <c r="CI63" s="531">
        <v>0</v>
      </c>
      <c r="CJ63" s="532">
        <f t="shared" si="55"/>
        <v>2</v>
      </c>
      <c r="CK63" s="531">
        <v>0</v>
      </c>
      <c r="CL63" s="532">
        <f t="shared" si="56"/>
        <v>2</v>
      </c>
      <c r="CM63" s="531">
        <v>0</v>
      </c>
      <c r="CN63" s="532">
        <f t="shared" si="57"/>
        <v>2</v>
      </c>
      <c r="CO63" s="531">
        <v>0</v>
      </c>
      <c r="CP63" s="532">
        <f t="shared" si="58"/>
        <v>2</v>
      </c>
      <c r="CQ63" s="531">
        <v>0</v>
      </c>
      <c r="CR63" s="532">
        <f t="shared" si="43"/>
        <v>2</v>
      </c>
      <c r="CS63" s="531">
        <f t="shared" si="26"/>
        <v>13</v>
      </c>
      <c r="CT63" s="313"/>
      <c r="CU63" s="313"/>
      <c r="CV63" s="313"/>
      <c r="CW63" s="313"/>
      <c r="CX63" s="313"/>
      <c r="CY63" s="313"/>
      <c r="CZ63" s="313"/>
      <c r="DA63" s="313"/>
      <c r="DB63" s="313"/>
      <c r="DC63" s="313"/>
    </row>
    <row r="64" spans="1:107" s="2" customFormat="1" ht="14.25">
      <c r="A64" s="1554"/>
      <c r="B64" s="1556"/>
      <c r="C64" s="638">
        <v>27.1</v>
      </c>
      <c r="D64" s="1028" t="s">
        <v>1302</v>
      </c>
      <c r="E64" s="492" t="s">
        <v>1241</v>
      </c>
      <c r="F64" s="339" t="s">
        <v>1303</v>
      </c>
      <c r="G64" s="625"/>
      <c r="H64" s="334"/>
      <c r="I64" s="341"/>
      <c r="J64" s="658">
        <f t="shared" si="40"/>
        <v>1.8</v>
      </c>
      <c r="K64" s="664"/>
      <c r="L64" s="658">
        <f t="shared" si="41"/>
        <v>2.1</v>
      </c>
      <c r="M64" s="511"/>
      <c r="N64" s="512">
        <f t="shared" si="22"/>
        <v>0</v>
      </c>
      <c r="O64" s="510">
        <f t="shared" si="42"/>
        <v>0</v>
      </c>
      <c r="P64" s="510">
        <f t="shared" si="23"/>
        <v>0</v>
      </c>
      <c r="Q64" s="833">
        <f t="shared" si="24"/>
        <v>0</v>
      </c>
      <c r="R64" s="832">
        <f t="shared" si="25"/>
        <v>0</v>
      </c>
      <c r="S64" s="520"/>
      <c r="T64" s="330">
        <v>0</v>
      </c>
      <c r="U64" s="623"/>
      <c r="V64" s="330">
        <v>1</v>
      </c>
      <c r="W64" s="623"/>
      <c r="X64" s="323">
        <f t="shared" si="3"/>
        <v>1</v>
      </c>
      <c r="Y64" s="520"/>
      <c r="Z64" s="330">
        <v>0</v>
      </c>
      <c r="AA64" s="623"/>
      <c r="AB64" s="330">
        <v>0</v>
      </c>
      <c r="AC64" s="623"/>
      <c r="AD64" s="323">
        <f t="shared" si="4"/>
        <v>0</v>
      </c>
      <c r="AE64" s="520"/>
      <c r="AF64" s="330">
        <v>4</v>
      </c>
      <c r="AG64" s="623"/>
      <c r="AH64" s="330">
        <v>3</v>
      </c>
      <c r="AI64" s="623"/>
      <c r="AJ64" s="323">
        <f t="shared" si="5"/>
        <v>-0.25</v>
      </c>
      <c r="AK64" s="520"/>
      <c r="AL64" s="638">
        <v>1</v>
      </c>
      <c r="AM64" s="623"/>
      <c r="AN64" s="638">
        <v>0</v>
      </c>
      <c r="AO64" s="623"/>
      <c r="AP64" s="323">
        <f t="shared" si="6"/>
        <v>-1</v>
      </c>
      <c r="AQ64" s="520"/>
      <c r="AR64" s="638">
        <v>5</v>
      </c>
      <c r="AS64" s="623"/>
      <c r="AT64" s="638">
        <v>8</v>
      </c>
      <c r="AU64" s="623"/>
      <c r="AV64" s="323">
        <f t="shared" si="7"/>
        <v>0.60000000000000009</v>
      </c>
      <c r="AW64" s="520"/>
      <c r="AX64" s="638">
        <v>1</v>
      </c>
      <c r="AY64" s="623"/>
      <c r="AZ64" s="638">
        <v>5</v>
      </c>
      <c r="BA64" s="623"/>
      <c r="BB64" s="323">
        <f t="shared" si="8"/>
        <v>4</v>
      </c>
      <c r="BC64" s="520"/>
      <c r="BD64" s="638">
        <v>1</v>
      </c>
      <c r="BE64" s="623"/>
      <c r="BF64" s="638">
        <v>0</v>
      </c>
      <c r="BG64" s="623"/>
      <c r="BH64" s="323">
        <f t="shared" si="9"/>
        <v>-1</v>
      </c>
      <c r="BI64" s="520"/>
      <c r="BJ64" s="638">
        <v>4</v>
      </c>
      <c r="BK64" s="623"/>
      <c r="BL64" s="638">
        <v>0</v>
      </c>
      <c r="BM64" s="623"/>
      <c r="BN64" s="323">
        <f t="shared" si="10"/>
        <v>-1</v>
      </c>
      <c r="BO64" s="520"/>
      <c r="BP64" s="638">
        <v>0</v>
      </c>
      <c r="BQ64" s="623"/>
      <c r="BR64" s="638">
        <v>3</v>
      </c>
      <c r="BS64" s="623"/>
      <c r="BT64" s="323">
        <f t="shared" si="11"/>
        <v>1</v>
      </c>
      <c r="BU64" s="520"/>
      <c r="BV64" s="638">
        <v>2</v>
      </c>
      <c r="BW64" s="623"/>
      <c r="BX64" s="638">
        <v>1</v>
      </c>
      <c r="BY64" s="623"/>
      <c r="BZ64" s="323">
        <f t="shared" si="12"/>
        <v>-0.5</v>
      </c>
      <c r="CA64" s="315"/>
      <c r="CD64" s="531"/>
      <c r="CE64" s="531">
        <v>0</v>
      </c>
      <c r="CF64" s="532">
        <f t="shared" si="49"/>
        <v>0</v>
      </c>
      <c r="CG64" s="531">
        <v>0</v>
      </c>
      <c r="CH64" s="532">
        <f t="shared" si="54"/>
        <v>0</v>
      </c>
      <c r="CI64" s="531">
        <v>0</v>
      </c>
      <c r="CJ64" s="532">
        <f t="shared" si="55"/>
        <v>0</v>
      </c>
      <c r="CK64" s="531">
        <v>0</v>
      </c>
      <c r="CL64" s="532">
        <f t="shared" si="56"/>
        <v>0</v>
      </c>
      <c r="CM64" s="531">
        <v>0</v>
      </c>
      <c r="CN64" s="532">
        <f t="shared" si="57"/>
        <v>0</v>
      </c>
      <c r="CO64" s="531">
        <v>0</v>
      </c>
      <c r="CP64" s="532">
        <f t="shared" si="58"/>
        <v>0</v>
      </c>
      <c r="CQ64" s="531">
        <v>0</v>
      </c>
      <c r="CR64" s="532">
        <f t="shared" si="43"/>
        <v>0</v>
      </c>
      <c r="CS64" s="531">
        <f t="shared" si="26"/>
        <v>0</v>
      </c>
      <c r="CT64" s="313"/>
      <c r="CU64" s="313"/>
      <c r="CV64" s="313"/>
      <c r="CW64" s="313"/>
      <c r="CX64" s="313"/>
      <c r="CY64" s="313"/>
      <c r="CZ64" s="313"/>
      <c r="DA64" s="313"/>
      <c r="DB64" s="313"/>
      <c r="DC64" s="313"/>
    </row>
    <row r="65" spans="1:107" s="2" customFormat="1" ht="14.25">
      <c r="A65" s="1554"/>
      <c r="B65" s="1556"/>
      <c r="C65" s="638">
        <v>27.2</v>
      </c>
      <c r="D65" s="1028" t="s">
        <v>1304</v>
      </c>
      <c r="E65" s="492" t="s">
        <v>1241</v>
      </c>
      <c r="F65" s="339" t="s">
        <v>1282</v>
      </c>
      <c r="G65" s="625"/>
      <c r="H65" s="334"/>
      <c r="I65" s="341"/>
      <c r="J65" s="658">
        <f t="shared" si="40"/>
        <v>2184.8000000000002</v>
      </c>
      <c r="K65" s="664"/>
      <c r="L65" s="658">
        <f t="shared" si="41"/>
        <v>2205.6999999999998</v>
      </c>
      <c r="M65" s="511"/>
      <c r="N65" s="512">
        <f t="shared" si="22"/>
        <v>0</v>
      </c>
      <c r="O65" s="510">
        <f t="shared" si="42"/>
        <v>0</v>
      </c>
      <c r="P65" s="510">
        <f t="shared" si="23"/>
        <v>0</v>
      </c>
      <c r="Q65" s="833">
        <f t="shared" si="24"/>
        <v>0</v>
      </c>
      <c r="R65" s="832">
        <f t="shared" si="25"/>
        <v>0</v>
      </c>
      <c r="S65" s="520"/>
      <c r="T65" s="330">
        <v>1028</v>
      </c>
      <c r="U65" s="623"/>
      <c r="V65" s="330">
        <v>971</v>
      </c>
      <c r="W65" s="623"/>
      <c r="X65" s="323">
        <f t="shared" si="3"/>
        <v>-5.5447470817120648E-2</v>
      </c>
      <c r="Y65" s="520"/>
      <c r="Z65" s="330">
        <v>2831</v>
      </c>
      <c r="AA65" s="623"/>
      <c r="AB65" s="330">
        <v>2875</v>
      </c>
      <c r="AC65" s="623"/>
      <c r="AD65" s="323">
        <f t="shared" si="4"/>
        <v>1.5542211232779879E-2</v>
      </c>
      <c r="AE65" s="520"/>
      <c r="AF65" s="638">
        <v>4256</v>
      </c>
      <c r="AG65" s="623"/>
      <c r="AH65" s="638">
        <v>4154</v>
      </c>
      <c r="AI65" s="623"/>
      <c r="AJ65" s="323">
        <f t="shared" si="5"/>
        <v>-2.3966165413533802E-2</v>
      </c>
      <c r="AK65" s="520"/>
      <c r="AL65" s="638">
        <v>1478</v>
      </c>
      <c r="AM65" s="623"/>
      <c r="AN65" s="638">
        <v>1479</v>
      </c>
      <c r="AO65" s="623"/>
      <c r="AP65" s="323">
        <f t="shared" si="6"/>
        <v>6.7658998646824564E-4</v>
      </c>
      <c r="AQ65" s="520"/>
      <c r="AR65" s="638">
        <v>3389</v>
      </c>
      <c r="AS65" s="623"/>
      <c r="AT65" s="638">
        <v>3579</v>
      </c>
      <c r="AU65" s="623"/>
      <c r="AV65" s="323">
        <f t="shared" si="7"/>
        <v>5.6063735615225818E-2</v>
      </c>
      <c r="AW65" s="520"/>
      <c r="AX65" s="638">
        <v>3495</v>
      </c>
      <c r="AY65" s="623"/>
      <c r="AZ65" s="638">
        <v>3759</v>
      </c>
      <c r="BA65" s="623"/>
      <c r="BB65" s="323">
        <f t="shared" si="8"/>
        <v>7.5536480686695384E-2</v>
      </c>
      <c r="BC65" s="520"/>
      <c r="BD65" s="638">
        <v>674</v>
      </c>
      <c r="BE65" s="623"/>
      <c r="BF65" s="638">
        <v>886</v>
      </c>
      <c r="BG65" s="623"/>
      <c r="BH65" s="323">
        <f t="shared" si="9"/>
        <v>0.31454005934718099</v>
      </c>
      <c r="BI65" s="520"/>
      <c r="BJ65" s="638">
        <v>2889</v>
      </c>
      <c r="BK65" s="623"/>
      <c r="BL65" s="638">
        <v>2794</v>
      </c>
      <c r="BM65" s="623"/>
      <c r="BN65" s="323">
        <f t="shared" si="10"/>
        <v>-3.2883350640359965E-2</v>
      </c>
      <c r="BO65" s="520"/>
      <c r="BP65" s="638">
        <v>785</v>
      </c>
      <c r="BQ65" s="623"/>
      <c r="BR65" s="638">
        <v>718</v>
      </c>
      <c r="BS65" s="623"/>
      <c r="BT65" s="323">
        <f t="shared" si="11"/>
        <v>-8.5350318471337561E-2</v>
      </c>
      <c r="BU65" s="520"/>
      <c r="BV65" s="638">
        <v>1023</v>
      </c>
      <c r="BW65" s="623"/>
      <c r="BX65" s="638">
        <v>842</v>
      </c>
      <c r="BY65" s="623"/>
      <c r="BZ65" s="323">
        <f t="shared" si="12"/>
        <v>-0.17693059628543495</v>
      </c>
      <c r="CA65" s="315"/>
      <c r="CD65" s="531"/>
      <c r="CE65" s="531">
        <v>0</v>
      </c>
      <c r="CF65" s="532">
        <f t="shared" si="49"/>
        <v>0</v>
      </c>
      <c r="CG65" s="531">
        <v>0</v>
      </c>
      <c r="CH65" s="532">
        <f t="shared" si="54"/>
        <v>0</v>
      </c>
      <c r="CI65" s="531">
        <v>0</v>
      </c>
      <c r="CJ65" s="532">
        <f t="shared" si="55"/>
        <v>0</v>
      </c>
      <c r="CK65" s="531">
        <v>0</v>
      </c>
      <c r="CL65" s="532">
        <f t="shared" si="56"/>
        <v>0</v>
      </c>
      <c r="CM65" s="531">
        <v>0</v>
      </c>
      <c r="CN65" s="532">
        <f t="shared" si="57"/>
        <v>0</v>
      </c>
      <c r="CO65" s="531">
        <v>0</v>
      </c>
      <c r="CP65" s="532">
        <f t="shared" si="58"/>
        <v>0</v>
      </c>
      <c r="CQ65" s="531">
        <v>0</v>
      </c>
      <c r="CR65" s="532">
        <f t="shared" si="43"/>
        <v>0</v>
      </c>
      <c r="CS65" s="531">
        <f t="shared" si="26"/>
        <v>0</v>
      </c>
      <c r="CT65" s="313"/>
      <c r="CU65" s="313"/>
      <c r="CV65" s="313"/>
      <c r="CW65" s="313"/>
      <c r="CX65" s="313"/>
      <c r="CY65" s="313"/>
      <c r="CZ65" s="313"/>
      <c r="DA65" s="313"/>
      <c r="DB65" s="313"/>
      <c r="DC65" s="313"/>
    </row>
    <row r="66" spans="1:107" s="77" customFormat="1" ht="14.25">
      <c r="A66" s="647" t="s">
        <v>1306</v>
      </c>
      <c r="B66" s="647" t="s">
        <v>1307</v>
      </c>
      <c r="C66" s="23">
        <v>28</v>
      </c>
      <c r="D66" s="521" t="s">
        <v>1305</v>
      </c>
      <c r="E66" s="492" t="s">
        <v>1241</v>
      </c>
      <c r="F66" s="625"/>
      <c r="G66" s="625" t="s">
        <v>1833</v>
      </c>
      <c r="H66" s="334" t="s">
        <v>285</v>
      </c>
      <c r="I66" s="624">
        <v>1</v>
      </c>
      <c r="J66" s="546" t="s">
        <v>1309</v>
      </c>
      <c r="K66" s="664">
        <f>AVERAGE(BW66,BQ66,BK66,BE66,AY66,AS66,AM66,AG66,AA66,U66)</f>
        <v>1</v>
      </c>
      <c r="L66" s="546" t="s">
        <v>1309</v>
      </c>
      <c r="M66" s="511">
        <f>AVERAGE(BY66,BS66,BM66,BG66,BA66,AU66,AO66,AI66,AC66,W66)</f>
        <v>1</v>
      </c>
      <c r="N66" s="512">
        <f t="shared" si="22"/>
        <v>0</v>
      </c>
      <c r="O66" s="510">
        <f t="shared" si="42"/>
        <v>0</v>
      </c>
      <c r="P66" s="510">
        <f t="shared" si="23"/>
        <v>0</v>
      </c>
      <c r="Q66" s="833">
        <f t="shared" si="24"/>
        <v>0</v>
      </c>
      <c r="R66" s="832">
        <f t="shared" si="25"/>
        <v>0</v>
      </c>
      <c r="S66" s="520" t="s">
        <v>1261</v>
      </c>
      <c r="T66" s="330" t="s">
        <v>1309</v>
      </c>
      <c r="U66" s="623">
        <v>1</v>
      </c>
      <c r="V66" s="330" t="s">
        <v>1309</v>
      </c>
      <c r="W66" s="623">
        <v>1</v>
      </c>
      <c r="X66" s="323">
        <f>IF((V66=T66)=TRUE,0,1)</f>
        <v>0</v>
      </c>
      <c r="Y66" s="520"/>
      <c r="Z66" s="330" t="s">
        <v>1309</v>
      </c>
      <c r="AA66" s="623">
        <v>1</v>
      </c>
      <c r="AB66" s="330" t="s">
        <v>1309</v>
      </c>
      <c r="AC66" s="623">
        <v>1</v>
      </c>
      <c r="AD66" s="323">
        <f>IF((AB66=Z66)=TRUE,0,1)</f>
        <v>0</v>
      </c>
      <c r="AE66" s="520"/>
      <c r="AF66" s="330" t="s">
        <v>1309</v>
      </c>
      <c r="AG66" s="623">
        <v>1</v>
      </c>
      <c r="AH66" s="330" t="s">
        <v>1309</v>
      </c>
      <c r="AI66" s="623">
        <v>1</v>
      </c>
      <c r="AJ66" s="323">
        <f>IF((AH66=AF66)=TRUE,0,1)</f>
        <v>0</v>
      </c>
      <c r="AK66" s="520"/>
      <c r="AL66" s="338" t="s">
        <v>1309</v>
      </c>
      <c r="AM66" s="623">
        <v>1</v>
      </c>
      <c r="AN66" s="338" t="s">
        <v>1309</v>
      </c>
      <c r="AO66" s="623">
        <v>1</v>
      </c>
      <c r="AP66" s="323">
        <f>IF((AN66=AL66)=TRUE,0,1)</f>
        <v>0</v>
      </c>
      <c r="AQ66" s="520"/>
      <c r="AR66" s="338" t="s">
        <v>1309</v>
      </c>
      <c r="AS66" s="623">
        <v>1</v>
      </c>
      <c r="AT66" s="338" t="s">
        <v>1309</v>
      </c>
      <c r="AU66" s="623">
        <v>1</v>
      </c>
      <c r="AV66" s="323">
        <f>IF((AT66=AR66)=TRUE,0,1)</f>
        <v>0</v>
      </c>
      <c r="AW66" s="520"/>
      <c r="AX66" s="330" t="s">
        <v>1309</v>
      </c>
      <c r="AY66" s="623">
        <v>1</v>
      </c>
      <c r="AZ66" s="330" t="s">
        <v>1309</v>
      </c>
      <c r="BA66" s="623">
        <v>1</v>
      </c>
      <c r="BB66" s="323">
        <f>IF((AZ66=AX66)=TRUE,0,1)</f>
        <v>0</v>
      </c>
      <c r="BC66" s="520"/>
      <c r="BD66" s="330" t="s">
        <v>1309</v>
      </c>
      <c r="BE66" s="623">
        <v>1</v>
      </c>
      <c r="BF66" s="330" t="s">
        <v>1309</v>
      </c>
      <c r="BG66" s="623">
        <v>1</v>
      </c>
      <c r="BH66" s="323">
        <f>IF((BF66=BD66)=TRUE,0,1)</f>
        <v>0</v>
      </c>
      <c r="BI66" s="520"/>
      <c r="BJ66" s="330" t="s">
        <v>1309</v>
      </c>
      <c r="BK66" s="623">
        <v>1</v>
      </c>
      <c r="BL66" s="330" t="s">
        <v>1309</v>
      </c>
      <c r="BM66" s="623">
        <v>1</v>
      </c>
      <c r="BN66" s="323">
        <f>IF((BL66=BJ66)=TRUE,0,1)</f>
        <v>0</v>
      </c>
      <c r="BO66" s="520"/>
      <c r="BP66" s="330" t="s">
        <v>1309</v>
      </c>
      <c r="BQ66" s="623">
        <v>1</v>
      </c>
      <c r="BR66" s="330" t="s">
        <v>1309</v>
      </c>
      <c r="BS66" s="623">
        <v>1</v>
      </c>
      <c r="BT66" s="323">
        <f>IF((BR66=BP66)=TRUE,0,1)</f>
        <v>0</v>
      </c>
      <c r="BU66" s="520"/>
      <c r="BV66" s="638" t="s">
        <v>1309</v>
      </c>
      <c r="BW66" s="623">
        <v>1</v>
      </c>
      <c r="BX66" s="638" t="s">
        <v>1309</v>
      </c>
      <c r="BY66" s="623">
        <v>1</v>
      </c>
      <c r="BZ66" s="323">
        <f>IF((BX66=BV66)=TRUE,0,1)</f>
        <v>0</v>
      </c>
      <c r="CA66" s="315"/>
      <c r="CD66" s="531"/>
      <c r="CE66" s="531">
        <v>1</v>
      </c>
      <c r="CF66" s="532">
        <f t="shared" si="49"/>
        <v>1</v>
      </c>
      <c r="CG66" s="531">
        <v>0</v>
      </c>
      <c r="CH66" s="532">
        <f t="shared" si="54"/>
        <v>1</v>
      </c>
      <c r="CI66" s="531">
        <v>0</v>
      </c>
      <c r="CJ66" s="532">
        <f t="shared" si="55"/>
        <v>1</v>
      </c>
      <c r="CK66" s="531">
        <v>0</v>
      </c>
      <c r="CL66" s="532">
        <f t="shared" si="56"/>
        <v>1</v>
      </c>
      <c r="CM66" s="531">
        <v>0</v>
      </c>
      <c r="CN66" s="532">
        <f t="shared" si="57"/>
        <v>1</v>
      </c>
      <c r="CO66" s="531">
        <v>0</v>
      </c>
      <c r="CP66" s="532">
        <f t="shared" si="58"/>
        <v>1</v>
      </c>
      <c r="CQ66" s="531">
        <v>0</v>
      </c>
      <c r="CR66" s="532">
        <f t="shared" si="43"/>
        <v>1</v>
      </c>
      <c r="CS66" s="531">
        <f t="shared" si="26"/>
        <v>7</v>
      </c>
      <c r="CT66" s="313"/>
      <c r="CU66" s="313"/>
      <c r="CV66" s="313"/>
      <c r="CW66" s="313"/>
      <c r="CX66" s="313"/>
      <c r="CY66" s="313"/>
      <c r="CZ66" s="313"/>
      <c r="DA66" s="313"/>
      <c r="DB66" s="313"/>
      <c r="DC66" s="313"/>
    </row>
    <row r="67" spans="1:107" s="2" customFormat="1" ht="28.5">
      <c r="A67" s="1554" t="s">
        <v>1310</v>
      </c>
      <c r="B67" s="1556" t="s">
        <v>1311</v>
      </c>
      <c r="C67" s="23">
        <v>29</v>
      </c>
      <c r="D67" s="329" t="s">
        <v>2071</v>
      </c>
      <c r="E67" s="492" t="s">
        <v>1215</v>
      </c>
      <c r="F67" s="339" t="s">
        <v>732</v>
      </c>
      <c r="G67" s="625" t="s">
        <v>1834</v>
      </c>
      <c r="H67" s="334" t="s">
        <v>285</v>
      </c>
      <c r="I67" s="1562">
        <v>6</v>
      </c>
      <c r="J67" s="660">
        <f>AVERAGE(BV67,BP67,BJ67,BD67,AX67,AR67,AL67,AF67,Z67,T67)</f>
        <v>0.1</v>
      </c>
      <c r="K67" s="664">
        <f>AVERAGE(BW67,BQ67,BK67,BE67,AY67,AS67,AM67,AG67,AA67,U67)</f>
        <v>5.95</v>
      </c>
      <c r="L67" s="660">
        <f>AVERAGE(BX67,BR67,BL67,BF67,AZ67,AT67,AN67,AH67,AB67,V67)</f>
        <v>0</v>
      </c>
      <c r="M67" s="511">
        <f>AVERAGE(BY67,BS67,BM67,BG67,BA67,AU67,AO67,AI67,AC67,W67)</f>
        <v>6</v>
      </c>
      <c r="N67" s="512">
        <f t="shared" si="22"/>
        <v>4.9999999999999822E-2</v>
      </c>
      <c r="O67" s="510">
        <f t="shared" si="42"/>
        <v>0</v>
      </c>
      <c r="P67" s="510">
        <f t="shared" si="23"/>
        <v>0</v>
      </c>
      <c r="Q67" s="833">
        <f t="shared" si="24"/>
        <v>0</v>
      </c>
      <c r="R67" s="832">
        <f t="shared" si="25"/>
        <v>0</v>
      </c>
      <c r="S67" s="520"/>
      <c r="T67" s="330">
        <v>0</v>
      </c>
      <c r="U67" s="1541">
        <f>6-T67*0.5-T68*3</f>
        <v>6</v>
      </c>
      <c r="V67" s="330">
        <v>0</v>
      </c>
      <c r="W67" s="1541">
        <f>6-V67*0.5-V68*3</f>
        <v>6</v>
      </c>
      <c r="X67" s="323">
        <f t="shared" si="3"/>
        <v>0</v>
      </c>
      <c r="Y67" s="520"/>
      <c r="Z67" s="330">
        <v>0</v>
      </c>
      <c r="AA67" s="1541">
        <f>6-Z67*0.5-Z68*3</f>
        <v>6</v>
      </c>
      <c r="AB67" s="330">
        <v>0</v>
      </c>
      <c r="AC67" s="1541">
        <f>6-AB67*0.5-AB68*3</f>
        <v>6</v>
      </c>
      <c r="AD67" s="323">
        <f t="shared" si="4"/>
        <v>0</v>
      </c>
      <c r="AE67" s="520"/>
      <c r="AF67" s="330">
        <v>0</v>
      </c>
      <c r="AG67" s="1541">
        <f>6-AF67*0.5-AF68*3</f>
        <v>6</v>
      </c>
      <c r="AH67" s="330">
        <v>0</v>
      </c>
      <c r="AI67" s="1541">
        <f>6-AH67*0.5-AH68*3</f>
        <v>6</v>
      </c>
      <c r="AJ67" s="323">
        <f t="shared" si="5"/>
        <v>0</v>
      </c>
      <c r="AK67" s="520"/>
      <c r="AL67" s="338">
        <v>0</v>
      </c>
      <c r="AM67" s="1541">
        <f>6-AL67*0.5-AL68*3</f>
        <v>6</v>
      </c>
      <c r="AN67" s="338">
        <v>0</v>
      </c>
      <c r="AO67" s="1541">
        <f>6-AN67*0.5-AN68*3</f>
        <v>6</v>
      </c>
      <c r="AP67" s="323">
        <f t="shared" si="6"/>
        <v>0</v>
      </c>
      <c r="AQ67" s="520"/>
      <c r="AR67" s="338">
        <v>0</v>
      </c>
      <c r="AS67" s="1541">
        <f>6-AR67*0.5-AR68*3</f>
        <v>6</v>
      </c>
      <c r="AT67" s="338">
        <v>0</v>
      </c>
      <c r="AU67" s="1541">
        <f>6-AT67*0.5-AT68*3</f>
        <v>6</v>
      </c>
      <c r="AV67" s="323">
        <f t="shared" si="7"/>
        <v>0</v>
      </c>
      <c r="AW67" s="520"/>
      <c r="AX67" s="330">
        <v>1</v>
      </c>
      <c r="AY67" s="1541">
        <f>6-AX67*0.5-AX68*3</f>
        <v>5.5</v>
      </c>
      <c r="AZ67" s="330">
        <v>0</v>
      </c>
      <c r="BA67" s="1541">
        <f>6-AZ67*0.5-AZ68*3</f>
        <v>6</v>
      </c>
      <c r="BB67" s="323">
        <f t="shared" si="8"/>
        <v>-1</v>
      </c>
      <c r="BC67" s="520"/>
      <c r="BD67" s="330">
        <v>0</v>
      </c>
      <c r="BE67" s="1541">
        <f>6-BD67*0.5-BD68*3</f>
        <v>6</v>
      </c>
      <c r="BF67" s="330">
        <v>0</v>
      </c>
      <c r="BG67" s="1541">
        <f>6-BF67*0.5-BF68*3</f>
        <v>6</v>
      </c>
      <c r="BH67" s="323">
        <f t="shared" si="9"/>
        <v>0</v>
      </c>
      <c r="BI67" s="520"/>
      <c r="BJ67" s="330">
        <v>0</v>
      </c>
      <c r="BK67" s="1541">
        <f>6-BJ67*0.5-BJ68*3</f>
        <v>6</v>
      </c>
      <c r="BL67" s="330">
        <v>0</v>
      </c>
      <c r="BM67" s="1541">
        <f>6-BL67*0.5-BL68*3</f>
        <v>6</v>
      </c>
      <c r="BN67" s="323">
        <f t="shared" si="10"/>
        <v>0</v>
      </c>
      <c r="BO67" s="520"/>
      <c r="BP67" s="330">
        <v>0</v>
      </c>
      <c r="BQ67" s="1541">
        <f>6-BP67*0.5-BP68*3</f>
        <v>6</v>
      </c>
      <c r="BR67" s="330">
        <v>0</v>
      </c>
      <c r="BS67" s="1541">
        <f>6-BR67*0.5-BR68*3</f>
        <v>6</v>
      </c>
      <c r="BT67" s="323">
        <f t="shared" si="11"/>
        <v>0</v>
      </c>
      <c r="BU67" s="520"/>
      <c r="BV67" s="338">
        <v>0</v>
      </c>
      <c r="BW67" s="1541">
        <f>6-BV67*0.5-BV68*3</f>
        <v>6</v>
      </c>
      <c r="BX67" s="338">
        <v>0</v>
      </c>
      <c r="BY67" s="1541">
        <f>6-BX67*0.5-BX68*3</f>
        <v>6</v>
      </c>
      <c r="BZ67" s="323">
        <f t="shared" si="12"/>
        <v>0</v>
      </c>
      <c r="CA67" s="315"/>
      <c r="CD67" s="531"/>
      <c r="CE67" s="531">
        <v>1</v>
      </c>
      <c r="CF67" s="532">
        <f t="shared" si="49"/>
        <v>6</v>
      </c>
      <c r="CG67" s="531">
        <v>0</v>
      </c>
      <c r="CH67" s="532">
        <f t="shared" si="54"/>
        <v>6</v>
      </c>
      <c r="CI67" s="531">
        <v>0</v>
      </c>
      <c r="CJ67" s="532">
        <f t="shared" si="55"/>
        <v>6</v>
      </c>
      <c r="CK67" s="531">
        <v>0</v>
      </c>
      <c r="CL67" s="532">
        <f t="shared" si="56"/>
        <v>6</v>
      </c>
      <c r="CM67" s="531">
        <v>0</v>
      </c>
      <c r="CN67" s="532">
        <f t="shared" si="57"/>
        <v>6</v>
      </c>
      <c r="CO67" s="531">
        <v>0</v>
      </c>
      <c r="CP67" s="532">
        <f t="shared" si="58"/>
        <v>6</v>
      </c>
      <c r="CQ67" s="531">
        <v>0</v>
      </c>
      <c r="CR67" s="532">
        <f t="shared" si="43"/>
        <v>6</v>
      </c>
      <c r="CS67" s="531">
        <f t="shared" si="26"/>
        <v>37</v>
      </c>
      <c r="CT67" s="313"/>
      <c r="CU67" s="313"/>
      <c r="CV67" s="313"/>
      <c r="CW67" s="313"/>
      <c r="CX67" s="313"/>
      <c r="CY67" s="313"/>
      <c r="CZ67" s="313"/>
      <c r="DA67" s="313"/>
      <c r="DB67" s="313"/>
      <c r="DC67" s="313"/>
    </row>
    <row r="68" spans="1:107" s="2" customFormat="1" ht="28.5">
      <c r="A68" s="1554"/>
      <c r="B68" s="1556"/>
      <c r="C68" s="23">
        <v>30</v>
      </c>
      <c r="D68" s="329" t="s">
        <v>1312</v>
      </c>
      <c r="E68" s="492" t="s">
        <v>1215</v>
      </c>
      <c r="F68" s="339" t="s">
        <v>732</v>
      </c>
      <c r="G68" s="625" t="s">
        <v>489</v>
      </c>
      <c r="H68" s="334" t="s">
        <v>285</v>
      </c>
      <c r="I68" s="1562"/>
      <c r="J68" s="660">
        <f>AVERAGE(BV68,BP68,BJ68,BD68,AX68,AR68,AL68,AF68,Z68,T68)</f>
        <v>0</v>
      </c>
      <c r="K68" s="664">
        <v>0</v>
      </c>
      <c r="L68" s="660">
        <f>AVERAGE(BX68,BR68,BL68,BF68,AZ68,AT68,AN68,AH68,AB68,V68)</f>
        <v>0</v>
      </c>
      <c r="M68" s="511"/>
      <c r="N68" s="512">
        <f t="shared" si="22"/>
        <v>0</v>
      </c>
      <c r="O68" s="510">
        <f t="shared" si="42"/>
        <v>0</v>
      </c>
      <c r="P68" s="510">
        <f t="shared" si="23"/>
        <v>0</v>
      </c>
      <c r="Q68" s="833">
        <f t="shared" si="24"/>
        <v>0</v>
      </c>
      <c r="R68" s="832">
        <f t="shared" si="25"/>
        <v>0</v>
      </c>
      <c r="S68" s="520"/>
      <c r="T68" s="330">
        <v>0</v>
      </c>
      <c r="U68" s="1541"/>
      <c r="V68" s="330">
        <v>0</v>
      </c>
      <c r="W68" s="1541"/>
      <c r="X68" s="323">
        <f t="shared" ref="X68:X71" si="59">IF(AND(T68=0,V68&lt;&gt;0),1,IF(AND(T68=0,V68=0),0,V68/T68-1))</f>
        <v>0</v>
      </c>
      <c r="Y68" s="520"/>
      <c r="Z68" s="330">
        <v>0</v>
      </c>
      <c r="AA68" s="1541"/>
      <c r="AB68" s="330">
        <v>0</v>
      </c>
      <c r="AC68" s="1541"/>
      <c r="AD68" s="323">
        <f t="shared" ref="AD68:AD71" si="60">IF(AND(Z68=0,AB68&lt;&gt;0),1,IF(AND(Z68=0,AB68=0),0,AB68/Z68-1))</f>
        <v>0</v>
      </c>
      <c r="AE68" s="520"/>
      <c r="AF68" s="330">
        <v>0</v>
      </c>
      <c r="AG68" s="1541"/>
      <c r="AH68" s="330">
        <v>0</v>
      </c>
      <c r="AI68" s="1541"/>
      <c r="AJ68" s="323">
        <f t="shared" ref="AJ68:AJ71" si="61">IF(AND(AF68=0,AH68&lt;&gt;0),1,IF(AND(AF68=0,AH68=0),0,AH68/AF68-1))</f>
        <v>0</v>
      </c>
      <c r="AK68" s="520"/>
      <c r="AL68" s="338">
        <v>0</v>
      </c>
      <c r="AM68" s="1541"/>
      <c r="AN68" s="338">
        <v>0</v>
      </c>
      <c r="AO68" s="1541"/>
      <c r="AP68" s="323">
        <f t="shared" ref="AP68:AP71" si="62">IF(AND(AL68=0,AN68&lt;&gt;0),1,IF(AND(AL68=0,AN68=0),0,AN68/AL68-1))</f>
        <v>0</v>
      </c>
      <c r="AQ68" s="520"/>
      <c r="AR68" s="338">
        <v>0</v>
      </c>
      <c r="AS68" s="1541"/>
      <c r="AT68" s="338">
        <v>0</v>
      </c>
      <c r="AU68" s="1541"/>
      <c r="AV68" s="323">
        <f t="shared" ref="AV68:AV71" si="63">IF(AND(AR68=0,AT68&lt;&gt;0),1,IF(AND(AR68=0,AT68=0),0,AT68/AR68-1))</f>
        <v>0</v>
      </c>
      <c r="AW68" s="520"/>
      <c r="AX68" s="330">
        <v>0</v>
      </c>
      <c r="AY68" s="1541"/>
      <c r="AZ68" s="330">
        <v>0</v>
      </c>
      <c r="BA68" s="1541"/>
      <c r="BB68" s="323">
        <f t="shared" ref="BB68:BB71" si="64">IF(AND(AX68=0,AZ68&lt;&gt;0),1,IF(AND(AX68=0,AZ68=0),0,AZ68/AX68-1))</f>
        <v>0</v>
      </c>
      <c r="BC68" s="520"/>
      <c r="BD68" s="330">
        <v>0</v>
      </c>
      <c r="BE68" s="1541"/>
      <c r="BF68" s="330">
        <v>0</v>
      </c>
      <c r="BG68" s="1541"/>
      <c r="BH68" s="323">
        <f t="shared" ref="BH68:BH71" si="65">IF(AND(BD68=0,BF68&lt;&gt;0),1,IF(AND(BD68=0,BF68=0),0,BF68/BD68-1))</f>
        <v>0</v>
      </c>
      <c r="BI68" s="520"/>
      <c r="BJ68" s="330">
        <v>0</v>
      </c>
      <c r="BK68" s="1541"/>
      <c r="BL68" s="330">
        <v>0</v>
      </c>
      <c r="BM68" s="1541"/>
      <c r="BN68" s="323">
        <f t="shared" ref="BN68:BN71" si="66">IF(AND(BJ68=0,BL68&lt;&gt;0),1,IF(AND(BJ68=0,BL68=0),0,BL68/BJ68-1))</f>
        <v>0</v>
      </c>
      <c r="BO68" s="520"/>
      <c r="BP68" s="330">
        <v>0</v>
      </c>
      <c r="BQ68" s="1541"/>
      <c r="BR68" s="330">
        <v>0</v>
      </c>
      <c r="BS68" s="1541"/>
      <c r="BT68" s="323">
        <f t="shared" ref="BT68:BT71" si="67">IF(AND(BP68=0,BR68&lt;&gt;0),1,IF(AND(BP68=0,BR68=0),0,BR68/BP68-1))</f>
        <v>0</v>
      </c>
      <c r="BU68" s="520"/>
      <c r="BV68" s="338">
        <v>0</v>
      </c>
      <c r="BW68" s="1541"/>
      <c r="BX68" s="338">
        <v>0</v>
      </c>
      <c r="BY68" s="1541"/>
      <c r="BZ68" s="323">
        <f t="shared" ref="BZ68:BZ71" si="68">IF(AND(BV68=0,BX68&lt;&gt;0),1,IF(AND(BV68=0,BX68=0),0,BX68/BV68-1))</f>
        <v>0</v>
      </c>
      <c r="CA68" s="315"/>
      <c r="CD68" s="531"/>
      <c r="CE68" s="531">
        <v>1</v>
      </c>
      <c r="CF68" s="532">
        <f t="shared" si="49"/>
        <v>0</v>
      </c>
      <c r="CG68" s="531">
        <v>0</v>
      </c>
      <c r="CH68" s="532">
        <f t="shared" si="54"/>
        <v>0</v>
      </c>
      <c r="CI68" s="531">
        <v>0</v>
      </c>
      <c r="CJ68" s="532">
        <f t="shared" si="55"/>
        <v>0</v>
      </c>
      <c r="CK68" s="531">
        <v>0</v>
      </c>
      <c r="CL68" s="532">
        <f t="shared" si="56"/>
        <v>0</v>
      </c>
      <c r="CM68" s="531">
        <v>0</v>
      </c>
      <c r="CN68" s="532">
        <f t="shared" si="57"/>
        <v>0</v>
      </c>
      <c r="CO68" s="531">
        <v>0</v>
      </c>
      <c r="CP68" s="532">
        <f t="shared" si="58"/>
        <v>0</v>
      </c>
      <c r="CQ68" s="531">
        <v>0</v>
      </c>
      <c r="CR68" s="532">
        <f t="shared" si="43"/>
        <v>0</v>
      </c>
      <c r="CS68" s="531">
        <f t="shared" si="26"/>
        <v>1</v>
      </c>
      <c r="CT68" s="313"/>
      <c r="CU68" s="313"/>
      <c r="CV68" s="313"/>
      <c r="CW68" s="313"/>
      <c r="CX68" s="313"/>
      <c r="CY68" s="313"/>
      <c r="CZ68" s="313"/>
      <c r="DA68" s="313"/>
      <c r="DB68" s="313"/>
      <c r="DC68" s="313"/>
    </row>
    <row r="69" spans="1:107" s="2" customFormat="1" ht="28.5">
      <c r="A69" s="339" t="s">
        <v>1313</v>
      </c>
      <c r="B69" s="339" t="s">
        <v>1314</v>
      </c>
      <c r="C69" s="23">
        <v>31</v>
      </c>
      <c r="D69" s="329" t="s">
        <v>1835</v>
      </c>
      <c r="E69" s="492" t="s">
        <v>1215</v>
      </c>
      <c r="F69" s="339" t="s">
        <v>732</v>
      </c>
      <c r="G69" s="625" t="s">
        <v>489</v>
      </c>
      <c r="H69" s="334" t="s">
        <v>285</v>
      </c>
      <c r="I69" s="624" t="s">
        <v>1836</v>
      </c>
      <c r="J69" s="660">
        <f>AVERAGE(BV69,BP69,BJ69,BD69,AX69,AR69,AL69,AF69,Z69,T69)</f>
        <v>0</v>
      </c>
      <c r="K69" s="580"/>
      <c r="L69" s="660">
        <f>AVERAGE(BX69,BR69,BL69,BF69,AZ69,AT69,AN69,AH69,AB69,V69)</f>
        <v>0</v>
      </c>
      <c r="M69" s="520"/>
      <c r="N69" s="512">
        <f t="shared" ref="N69:N73" si="69">M69-K69</f>
        <v>0</v>
      </c>
      <c r="O69" s="520"/>
      <c r="P69" s="520"/>
      <c r="Q69" s="520"/>
      <c r="R69" s="520"/>
      <c r="S69" s="520"/>
      <c r="T69" s="330">
        <v>0</v>
      </c>
      <c r="U69" s="623" t="s">
        <v>1837</v>
      </c>
      <c r="V69" s="330">
        <v>0</v>
      </c>
      <c r="W69" s="623" t="s">
        <v>1837</v>
      </c>
      <c r="X69" s="323">
        <f t="shared" si="59"/>
        <v>0</v>
      </c>
      <c r="Y69" s="520"/>
      <c r="Z69" s="330">
        <v>0</v>
      </c>
      <c r="AA69" s="623" t="s">
        <v>1178</v>
      </c>
      <c r="AB69" s="330">
        <v>0</v>
      </c>
      <c r="AC69" s="623" t="s">
        <v>1178</v>
      </c>
      <c r="AD69" s="323">
        <f t="shared" si="60"/>
        <v>0</v>
      </c>
      <c r="AE69" s="520"/>
      <c r="AF69" s="330">
        <v>0</v>
      </c>
      <c r="AG69" s="623" t="s">
        <v>1178</v>
      </c>
      <c r="AH69" s="330">
        <v>0</v>
      </c>
      <c r="AI69" s="623" t="s">
        <v>1178</v>
      </c>
      <c r="AJ69" s="323">
        <f t="shared" si="61"/>
        <v>0</v>
      </c>
      <c r="AK69" s="520"/>
      <c r="AL69" s="338">
        <v>0</v>
      </c>
      <c r="AM69" s="623" t="s">
        <v>1178</v>
      </c>
      <c r="AN69" s="338">
        <v>0</v>
      </c>
      <c r="AO69" s="623" t="s">
        <v>1178</v>
      </c>
      <c r="AP69" s="323">
        <f t="shared" si="62"/>
        <v>0</v>
      </c>
      <c r="AQ69" s="520"/>
      <c r="AR69" s="338">
        <v>0</v>
      </c>
      <c r="AS69" s="623" t="s">
        <v>1178</v>
      </c>
      <c r="AT69" s="338">
        <v>0</v>
      </c>
      <c r="AU69" s="623" t="s">
        <v>1178</v>
      </c>
      <c r="AV69" s="323">
        <f t="shared" si="63"/>
        <v>0</v>
      </c>
      <c r="AW69" s="520"/>
      <c r="AX69" s="330">
        <v>0</v>
      </c>
      <c r="AY69" s="623" t="s">
        <v>1178</v>
      </c>
      <c r="AZ69" s="330">
        <v>0</v>
      </c>
      <c r="BA69" s="623" t="s">
        <v>1178</v>
      </c>
      <c r="BB69" s="323">
        <f t="shared" si="64"/>
        <v>0</v>
      </c>
      <c r="BC69" s="520"/>
      <c r="BD69" s="330">
        <v>0</v>
      </c>
      <c r="BE69" s="623" t="s">
        <v>1178</v>
      </c>
      <c r="BF69" s="330">
        <v>0</v>
      </c>
      <c r="BG69" s="623" t="s">
        <v>1178</v>
      </c>
      <c r="BH69" s="323">
        <f t="shared" si="65"/>
        <v>0</v>
      </c>
      <c r="BI69" s="520"/>
      <c r="BJ69" s="330">
        <v>0</v>
      </c>
      <c r="BK69" s="623" t="s">
        <v>1178</v>
      </c>
      <c r="BL69" s="330">
        <v>0</v>
      </c>
      <c r="BM69" s="623" t="s">
        <v>1178</v>
      </c>
      <c r="BN69" s="323">
        <f t="shared" si="66"/>
        <v>0</v>
      </c>
      <c r="BO69" s="520"/>
      <c r="BP69" s="330">
        <v>0</v>
      </c>
      <c r="BQ69" s="623" t="s">
        <v>1178</v>
      </c>
      <c r="BR69" s="330">
        <v>0</v>
      </c>
      <c r="BS69" s="623" t="s">
        <v>1178</v>
      </c>
      <c r="BT69" s="323">
        <f t="shared" si="67"/>
        <v>0</v>
      </c>
      <c r="BU69" s="520"/>
      <c r="BV69" s="338">
        <v>0</v>
      </c>
      <c r="BW69" s="623" t="s">
        <v>1178</v>
      </c>
      <c r="BX69" s="338">
        <v>0</v>
      </c>
      <c r="BY69" s="623" t="s">
        <v>1178</v>
      </c>
      <c r="BZ69" s="323">
        <f t="shared" si="68"/>
        <v>0</v>
      </c>
      <c r="CA69" s="315"/>
      <c r="CD69" s="531" t="s">
        <v>1638</v>
      </c>
      <c r="CE69" s="531">
        <v>1</v>
      </c>
      <c r="CF69" s="532">
        <f t="shared" si="49"/>
        <v>0</v>
      </c>
      <c r="CG69" s="531">
        <v>1</v>
      </c>
      <c r="CH69" s="532">
        <f t="shared" si="54"/>
        <v>0</v>
      </c>
      <c r="CI69" s="531">
        <v>1</v>
      </c>
      <c r="CJ69" s="532">
        <f t="shared" si="55"/>
        <v>0</v>
      </c>
      <c r="CK69" s="531">
        <v>1</v>
      </c>
      <c r="CL69" s="532">
        <f t="shared" si="56"/>
        <v>0</v>
      </c>
      <c r="CM69" s="531">
        <v>1</v>
      </c>
      <c r="CN69" s="532">
        <f t="shared" si="57"/>
        <v>0</v>
      </c>
      <c r="CO69" s="531">
        <v>1</v>
      </c>
      <c r="CP69" s="532">
        <f t="shared" si="58"/>
        <v>0</v>
      </c>
      <c r="CQ69" s="531">
        <v>0</v>
      </c>
      <c r="CR69" s="532">
        <f t="shared" si="43"/>
        <v>0</v>
      </c>
      <c r="CS69" s="531">
        <f t="shared" ref="CS69:CS73" si="70">SUM(CE69:CQ69)</f>
        <v>6</v>
      </c>
      <c r="CT69" s="313"/>
      <c r="CU69" s="313"/>
      <c r="CV69" s="313"/>
      <c r="CW69" s="313"/>
      <c r="CX69" s="313"/>
      <c r="CY69" s="313"/>
      <c r="CZ69" s="313"/>
      <c r="DA69" s="313"/>
      <c r="DB69" s="313"/>
      <c r="DC69" s="313"/>
    </row>
    <row r="70" spans="1:107" s="2" customFormat="1" ht="14.25">
      <c r="A70" s="1554" t="s">
        <v>1317</v>
      </c>
      <c r="B70" s="1556" t="s">
        <v>1318</v>
      </c>
      <c r="C70" s="23">
        <v>32</v>
      </c>
      <c r="D70" s="329" t="s">
        <v>1316</v>
      </c>
      <c r="E70" s="492" t="s">
        <v>258</v>
      </c>
      <c r="F70" s="625"/>
      <c r="G70" s="625" t="s">
        <v>1838</v>
      </c>
      <c r="H70" s="334" t="s">
        <v>285</v>
      </c>
      <c r="I70" s="1562">
        <v>3</v>
      </c>
      <c r="J70" s="660">
        <f>AVERAGE(BV70,BP70,BJ70,BD70,AX70,AR70,AL70,AF70,Z70,T70)</f>
        <v>0</v>
      </c>
      <c r="K70" s="664">
        <f>AVERAGE(BW70,BQ70,BK70,BE70,AY70,AS70,AM70,AG70,AA70,U70)</f>
        <v>3</v>
      </c>
      <c r="L70" s="660">
        <f>AVERAGE(BX70,BR70,BL70,BF70,AZ70,AT70,AN70,AH70,AB70,V70)</f>
        <v>0</v>
      </c>
      <c r="M70" s="511">
        <f>AVERAGE(BY70,BS70,BM70,BG70,BA70,AU70,AO70,AI70,AC70,W70)</f>
        <v>3</v>
      </c>
      <c r="N70" s="512">
        <f t="shared" si="69"/>
        <v>0</v>
      </c>
      <c r="O70" s="510">
        <f>I70-M70</f>
        <v>0</v>
      </c>
      <c r="P70" s="510">
        <f t="shared" ref="P70:P73" si="71">O70*0.7</f>
        <v>0</v>
      </c>
      <c r="Q70" s="833">
        <f t="shared" ref="Q70:Q73" si="72">P70/9</f>
        <v>0</v>
      </c>
      <c r="R70" s="832">
        <f t="shared" ref="R70:R77" si="73">Q70/2</f>
        <v>0</v>
      </c>
      <c r="S70" s="520"/>
      <c r="T70" s="330">
        <v>0</v>
      </c>
      <c r="U70" s="1541">
        <f>3-T70*0.5-T71*1</f>
        <v>3</v>
      </c>
      <c r="V70" s="330">
        <v>0</v>
      </c>
      <c r="W70" s="1541">
        <f>3-V70*0.5-V71*1</f>
        <v>3</v>
      </c>
      <c r="X70" s="323">
        <f t="shared" si="59"/>
        <v>0</v>
      </c>
      <c r="Y70" s="520"/>
      <c r="Z70" s="330">
        <v>0</v>
      </c>
      <c r="AA70" s="1541">
        <f>3-Z70*0.5-Z71*1</f>
        <v>3</v>
      </c>
      <c r="AB70" s="330">
        <v>0</v>
      </c>
      <c r="AC70" s="1541">
        <f>3-AB70*0.5-AB71*1</f>
        <v>3</v>
      </c>
      <c r="AD70" s="323">
        <f t="shared" si="60"/>
        <v>0</v>
      </c>
      <c r="AE70" s="520"/>
      <c r="AF70" s="330">
        <v>0</v>
      </c>
      <c r="AG70" s="1541">
        <f>3-AF70*0.5-AF71*1</f>
        <v>3</v>
      </c>
      <c r="AH70" s="330">
        <v>0</v>
      </c>
      <c r="AI70" s="1541">
        <f>3-AH70*0.5-AH71*1</f>
        <v>3</v>
      </c>
      <c r="AJ70" s="323">
        <f t="shared" si="61"/>
        <v>0</v>
      </c>
      <c r="AK70" s="520"/>
      <c r="AL70" s="330">
        <v>0</v>
      </c>
      <c r="AM70" s="1541">
        <f>3-AL70*0.5-AL71*1</f>
        <v>3</v>
      </c>
      <c r="AN70" s="330">
        <v>0</v>
      </c>
      <c r="AO70" s="1541">
        <f>3-AN70*0.5-AN71*1</f>
        <v>3</v>
      </c>
      <c r="AP70" s="323">
        <f t="shared" si="62"/>
        <v>0</v>
      </c>
      <c r="AQ70" s="520"/>
      <c r="AR70" s="330">
        <v>0</v>
      </c>
      <c r="AS70" s="1541">
        <f>3-AR70*0.5-AR71*1</f>
        <v>3</v>
      </c>
      <c r="AT70" s="330">
        <v>0</v>
      </c>
      <c r="AU70" s="1541">
        <f>3-AT70*0.5-AT71*1</f>
        <v>3</v>
      </c>
      <c r="AV70" s="323">
        <f t="shared" si="63"/>
        <v>0</v>
      </c>
      <c r="AW70" s="520"/>
      <c r="AX70" s="330">
        <v>0</v>
      </c>
      <c r="AY70" s="1541">
        <f>3-AX70*0.5-AX71*1</f>
        <v>3</v>
      </c>
      <c r="AZ70" s="330">
        <v>0</v>
      </c>
      <c r="BA70" s="1541">
        <f>3-AZ70*0.5-AZ71*1</f>
        <v>3</v>
      </c>
      <c r="BB70" s="323">
        <f t="shared" si="64"/>
        <v>0</v>
      </c>
      <c r="BC70" s="520"/>
      <c r="BD70" s="330">
        <v>0</v>
      </c>
      <c r="BE70" s="1541">
        <f>3-BD70*0.5-BD71*1</f>
        <v>3</v>
      </c>
      <c r="BF70" s="330">
        <v>0</v>
      </c>
      <c r="BG70" s="1541">
        <f>3-BF70*0.5-BF71*1</f>
        <v>3</v>
      </c>
      <c r="BH70" s="323">
        <f t="shared" si="65"/>
        <v>0</v>
      </c>
      <c r="BI70" s="520"/>
      <c r="BJ70" s="330">
        <v>0</v>
      </c>
      <c r="BK70" s="1541">
        <f>3-BJ70*0.5-BJ71*1</f>
        <v>3</v>
      </c>
      <c r="BL70" s="330">
        <v>0</v>
      </c>
      <c r="BM70" s="1541">
        <f>3-BL70*0.5-BL71*1</f>
        <v>3</v>
      </c>
      <c r="BN70" s="323">
        <f t="shared" si="66"/>
        <v>0</v>
      </c>
      <c r="BO70" s="520"/>
      <c r="BP70" s="330">
        <v>0</v>
      </c>
      <c r="BQ70" s="1541">
        <f>3-BP70*0.5-BP71*1</f>
        <v>3</v>
      </c>
      <c r="BR70" s="330">
        <v>0</v>
      </c>
      <c r="BS70" s="1541">
        <f>3-BR70*0.5-BR71*1</f>
        <v>3</v>
      </c>
      <c r="BT70" s="323">
        <f t="shared" si="67"/>
        <v>0</v>
      </c>
      <c r="BU70" s="520"/>
      <c r="BV70" s="330">
        <v>0</v>
      </c>
      <c r="BW70" s="1541">
        <f>3-BV70*0.5-BV71*1</f>
        <v>3</v>
      </c>
      <c r="BX70" s="330">
        <v>0</v>
      </c>
      <c r="BY70" s="1541">
        <f>3-BX70*0.5-BX71*1</f>
        <v>3</v>
      </c>
      <c r="BZ70" s="323">
        <f t="shared" si="68"/>
        <v>0</v>
      </c>
      <c r="CA70" s="315"/>
      <c r="CD70" s="531" t="s">
        <v>1638</v>
      </c>
      <c r="CE70" s="531">
        <v>1</v>
      </c>
      <c r="CF70" s="532">
        <f t="shared" si="49"/>
        <v>3</v>
      </c>
      <c r="CG70" s="531">
        <v>1</v>
      </c>
      <c r="CH70" s="532">
        <f t="shared" si="54"/>
        <v>3</v>
      </c>
      <c r="CI70" s="531">
        <v>1</v>
      </c>
      <c r="CJ70" s="532">
        <f t="shared" si="55"/>
        <v>3</v>
      </c>
      <c r="CK70" s="531">
        <v>1</v>
      </c>
      <c r="CL70" s="532">
        <f t="shared" si="56"/>
        <v>3</v>
      </c>
      <c r="CM70" s="531">
        <v>1</v>
      </c>
      <c r="CN70" s="532">
        <f t="shared" si="57"/>
        <v>3</v>
      </c>
      <c r="CO70" s="531">
        <v>1</v>
      </c>
      <c r="CP70" s="532">
        <f t="shared" si="58"/>
        <v>3</v>
      </c>
      <c r="CQ70" s="531">
        <v>1</v>
      </c>
      <c r="CR70" s="532">
        <f t="shared" si="43"/>
        <v>3</v>
      </c>
      <c r="CS70" s="531">
        <f t="shared" si="70"/>
        <v>25</v>
      </c>
      <c r="CT70" s="313"/>
      <c r="CU70" s="313"/>
      <c r="CV70" s="313"/>
      <c r="CW70" s="313"/>
      <c r="CX70" s="313"/>
      <c r="CY70" s="313"/>
      <c r="CZ70" s="313"/>
      <c r="DA70" s="313"/>
      <c r="DB70" s="313"/>
      <c r="DC70" s="313"/>
    </row>
    <row r="71" spans="1:107" s="2" customFormat="1" ht="14.25">
      <c r="A71" s="1554"/>
      <c r="B71" s="1556"/>
      <c r="C71" s="23">
        <v>33</v>
      </c>
      <c r="D71" s="329" t="s">
        <v>1319</v>
      </c>
      <c r="E71" s="492" t="s">
        <v>258</v>
      </c>
      <c r="F71" s="625"/>
      <c r="G71" s="625" t="s">
        <v>1838</v>
      </c>
      <c r="H71" s="334" t="s">
        <v>285</v>
      </c>
      <c r="I71" s="1562"/>
      <c r="J71" s="660">
        <f>AVERAGE(BV71,BP71,BJ71,BD71,AX71,AR71,AL71,AF71,Z71,T71)</f>
        <v>0</v>
      </c>
      <c r="K71" s="664">
        <v>0</v>
      </c>
      <c r="L71" s="660">
        <f>AVERAGE(BX71,BR71,BL71,BF71,AZ71,AT71,AN71,AH71,AB71,V71)</f>
        <v>0</v>
      </c>
      <c r="M71" s="511"/>
      <c r="N71" s="512">
        <f t="shared" si="69"/>
        <v>0</v>
      </c>
      <c r="O71" s="510">
        <f>I71-M71</f>
        <v>0</v>
      </c>
      <c r="P71" s="510">
        <f t="shared" si="71"/>
        <v>0</v>
      </c>
      <c r="Q71" s="833">
        <f t="shared" si="72"/>
        <v>0</v>
      </c>
      <c r="R71" s="832">
        <f t="shared" si="73"/>
        <v>0</v>
      </c>
      <c r="S71" s="520"/>
      <c r="T71" s="330">
        <v>0</v>
      </c>
      <c r="U71" s="1541"/>
      <c r="V71" s="330">
        <v>0</v>
      </c>
      <c r="W71" s="1541"/>
      <c r="X71" s="323">
        <f t="shared" si="59"/>
        <v>0</v>
      </c>
      <c r="Y71" s="520"/>
      <c r="Z71" s="330">
        <v>0</v>
      </c>
      <c r="AA71" s="1541"/>
      <c r="AB71" s="330">
        <v>0</v>
      </c>
      <c r="AC71" s="1541"/>
      <c r="AD71" s="323">
        <f t="shared" si="60"/>
        <v>0</v>
      </c>
      <c r="AE71" s="520"/>
      <c r="AF71" s="330">
        <v>0</v>
      </c>
      <c r="AG71" s="1541"/>
      <c r="AH71" s="330">
        <v>0</v>
      </c>
      <c r="AI71" s="1541"/>
      <c r="AJ71" s="323">
        <f t="shared" si="61"/>
        <v>0</v>
      </c>
      <c r="AK71" s="520"/>
      <c r="AL71" s="330">
        <v>0</v>
      </c>
      <c r="AM71" s="1541"/>
      <c r="AN71" s="330">
        <v>0</v>
      </c>
      <c r="AO71" s="1541"/>
      <c r="AP71" s="323">
        <f t="shared" si="62"/>
        <v>0</v>
      </c>
      <c r="AQ71" s="520"/>
      <c r="AR71" s="330">
        <v>0</v>
      </c>
      <c r="AS71" s="1541"/>
      <c r="AT71" s="330">
        <v>0</v>
      </c>
      <c r="AU71" s="1541"/>
      <c r="AV71" s="323">
        <f t="shared" si="63"/>
        <v>0</v>
      </c>
      <c r="AW71" s="520"/>
      <c r="AX71" s="330">
        <v>0</v>
      </c>
      <c r="AY71" s="1541"/>
      <c r="AZ71" s="330">
        <v>0</v>
      </c>
      <c r="BA71" s="1541"/>
      <c r="BB71" s="323">
        <f t="shared" si="64"/>
        <v>0</v>
      </c>
      <c r="BC71" s="520"/>
      <c r="BD71" s="330">
        <v>0</v>
      </c>
      <c r="BE71" s="1541"/>
      <c r="BF71" s="330">
        <v>0</v>
      </c>
      <c r="BG71" s="1541"/>
      <c r="BH71" s="323">
        <f t="shared" si="65"/>
        <v>0</v>
      </c>
      <c r="BI71" s="520"/>
      <c r="BJ71" s="330">
        <v>0</v>
      </c>
      <c r="BK71" s="1541"/>
      <c r="BL71" s="330">
        <v>0</v>
      </c>
      <c r="BM71" s="1541"/>
      <c r="BN71" s="323">
        <f t="shared" si="66"/>
        <v>0</v>
      </c>
      <c r="BO71" s="520"/>
      <c r="BP71" s="330">
        <v>0</v>
      </c>
      <c r="BQ71" s="1541"/>
      <c r="BR71" s="330">
        <v>0</v>
      </c>
      <c r="BS71" s="1541"/>
      <c r="BT71" s="323">
        <f t="shared" si="67"/>
        <v>0</v>
      </c>
      <c r="BU71" s="520"/>
      <c r="BV71" s="330">
        <v>0</v>
      </c>
      <c r="BW71" s="1541"/>
      <c r="BX71" s="330">
        <v>0</v>
      </c>
      <c r="BY71" s="1541"/>
      <c r="BZ71" s="323">
        <f t="shared" si="68"/>
        <v>0</v>
      </c>
      <c r="CA71" s="315"/>
      <c r="CD71" s="531" t="s">
        <v>1638</v>
      </c>
      <c r="CE71" s="531">
        <v>0</v>
      </c>
      <c r="CF71" s="532">
        <f t="shared" si="49"/>
        <v>0</v>
      </c>
      <c r="CG71" s="531">
        <v>1</v>
      </c>
      <c r="CH71" s="532">
        <f t="shared" si="54"/>
        <v>0</v>
      </c>
      <c r="CI71" s="531">
        <v>1</v>
      </c>
      <c r="CJ71" s="532">
        <f t="shared" si="55"/>
        <v>0</v>
      </c>
      <c r="CK71" s="531">
        <v>1</v>
      </c>
      <c r="CL71" s="532">
        <f t="shared" si="56"/>
        <v>0</v>
      </c>
      <c r="CM71" s="531">
        <v>1</v>
      </c>
      <c r="CN71" s="532">
        <f t="shared" si="57"/>
        <v>0</v>
      </c>
      <c r="CO71" s="531">
        <v>1</v>
      </c>
      <c r="CP71" s="532">
        <f t="shared" si="58"/>
        <v>0</v>
      </c>
      <c r="CQ71" s="531">
        <v>1</v>
      </c>
      <c r="CR71" s="532">
        <f t="shared" si="43"/>
        <v>0</v>
      </c>
      <c r="CS71" s="531">
        <f t="shared" si="70"/>
        <v>6</v>
      </c>
      <c r="CT71" s="313"/>
      <c r="CU71" s="313"/>
      <c r="CV71" s="313"/>
      <c r="CW71" s="313"/>
      <c r="CX71" s="313"/>
      <c r="CY71" s="313"/>
      <c r="CZ71" s="313"/>
      <c r="DA71" s="313"/>
      <c r="DB71" s="313"/>
      <c r="DC71" s="313"/>
    </row>
    <row r="72" spans="1:107" s="2" customFormat="1" ht="14.25">
      <c r="A72" s="647" t="s">
        <v>1321</v>
      </c>
      <c r="B72" s="647" t="s">
        <v>1322</v>
      </c>
      <c r="C72" s="23">
        <v>34</v>
      </c>
      <c r="D72" s="329" t="s">
        <v>1320</v>
      </c>
      <c r="E72" s="492" t="s">
        <v>259</v>
      </c>
      <c r="F72" s="625"/>
      <c r="G72" s="625" t="s">
        <v>1838</v>
      </c>
      <c r="H72" s="334" t="s">
        <v>285</v>
      </c>
      <c r="I72" s="624">
        <v>2</v>
      </c>
      <c r="J72" s="546" t="s">
        <v>1323</v>
      </c>
      <c r="K72" s="664">
        <f>AVERAGE(BW72,BQ72,BK72,BE72,AY72,AS72,AM72,AG72,AA72,U72)</f>
        <v>2</v>
      </c>
      <c r="L72" s="546" t="s">
        <v>1323</v>
      </c>
      <c r="M72" s="511">
        <f>AVERAGE(BY72,BS72,BM72,BG72,BA72,AU72,AO72,AI72,AC72,W72)</f>
        <v>2</v>
      </c>
      <c r="N72" s="512">
        <f t="shared" si="69"/>
        <v>0</v>
      </c>
      <c r="O72" s="510">
        <f>I72-M72</f>
        <v>0</v>
      </c>
      <c r="P72" s="510">
        <f t="shared" si="71"/>
        <v>0</v>
      </c>
      <c r="Q72" s="833">
        <f t="shared" si="72"/>
        <v>0</v>
      </c>
      <c r="R72" s="832">
        <f t="shared" si="73"/>
        <v>0</v>
      </c>
      <c r="S72" s="520" t="s">
        <v>1261</v>
      </c>
      <c r="T72" s="330" t="s">
        <v>1323</v>
      </c>
      <c r="U72" s="623">
        <v>2</v>
      </c>
      <c r="V72" s="330" t="s">
        <v>1323</v>
      </c>
      <c r="W72" s="623">
        <v>2</v>
      </c>
      <c r="X72" s="323">
        <f>IF((V72=T72)=TRUE,0,1)</f>
        <v>0</v>
      </c>
      <c r="Y72" s="520"/>
      <c r="Z72" s="330" t="s">
        <v>1323</v>
      </c>
      <c r="AA72" s="623">
        <v>2</v>
      </c>
      <c r="AB72" s="330" t="s">
        <v>1323</v>
      </c>
      <c r="AC72" s="623">
        <v>2</v>
      </c>
      <c r="AD72" s="323">
        <f>IF((AB72=Z72)=TRUE,0,1)</f>
        <v>0</v>
      </c>
      <c r="AE72" s="520"/>
      <c r="AF72" s="330" t="s">
        <v>1323</v>
      </c>
      <c r="AG72" s="623">
        <v>2</v>
      </c>
      <c r="AH72" s="330" t="s">
        <v>1323</v>
      </c>
      <c r="AI72" s="623">
        <v>2</v>
      </c>
      <c r="AJ72" s="323">
        <f>IF((AH72=AF72)=TRUE,0,1)</f>
        <v>0</v>
      </c>
      <c r="AK72" s="520"/>
      <c r="AL72" s="330" t="s">
        <v>1323</v>
      </c>
      <c r="AM72" s="623">
        <v>2</v>
      </c>
      <c r="AN72" s="330" t="s">
        <v>1323</v>
      </c>
      <c r="AO72" s="623">
        <v>2</v>
      </c>
      <c r="AP72" s="323">
        <f>IF((AN72=AL72)=TRUE,0,1)</f>
        <v>0</v>
      </c>
      <c r="AQ72" s="520"/>
      <c r="AR72" s="330" t="s">
        <v>1323</v>
      </c>
      <c r="AS72" s="623">
        <v>2</v>
      </c>
      <c r="AT72" s="330" t="s">
        <v>1323</v>
      </c>
      <c r="AU72" s="623">
        <v>2</v>
      </c>
      <c r="AV72" s="323">
        <f>IF((AT72=AR72)=TRUE,0,1)</f>
        <v>0</v>
      </c>
      <c r="AW72" s="520"/>
      <c r="AX72" s="330" t="s">
        <v>1323</v>
      </c>
      <c r="AY72" s="623">
        <v>2</v>
      </c>
      <c r="AZ72" s="330" t="s">
        <v>1323</v>
      </c>
      <c r="BA72" s="623">
        <v>2</v>
      </c>
      <c r="BB72" s="323">
        <f>IF((AZ72=AX72)=TRUE,0,1)</f>
        <v>0</v>
      </c>
      <c r="BC72" s="520"/>
      <c r="BD72" s="330" t="s">
        <v>1323</v>
      </c>
      <c r="BE72" s="623">
        <v>2</v>
      </c>
      <c r="BF72" s="330" t="s">
        <v>1323</v>
      </c>
      <c r="BG72" s="623">
        <v>2</v>
      </c>
      <c r="BH72" s="323">
        <f>IF((BF72=BD72)=TRUE,0,1)</f>
        <v>0</v>
      </c>
      <c r="BI72" s="520"/>
      <c r="BJ72" s="330" t="s">
        <v>1323</v>
      </c>
      <c r="BK72" s="623">
        <v>2</v>
      </c>
      <c r="BL72" s="330" t="s">
        <v>1323</v>
      </c>
      <c r="BM72" s="623">
        <v>2</v>
      </c>
      <c r="BN72" s="323">
        <f>IF((BL72=BJ72)=TRUE,0,1)</f>
        <v>0</v>
      </c>
      <c r="BO72" s="520"/>
      <c r="BP72" s="330" t="s">
        <v>1323</v>
      </c>
      <c r="BQ72" s="623">
        <v>2</v>
      </c>
      <c r="BR72" s="330" t="s">
        <v>1323</v>
      </c>
      <c r="BS72" s="623">
        <v>2</v>
      </c>
      <c r="BT72" s="323">
        <f>IF((BR72=BP72)=TRUE,0,1)</f>
        <v>0</v>
      </c>
      <c r="BU72" s="520"/>
      <c r="BV72" s="330" t="s">
        <v>1323</v>
      </c>
      <c r="BW72" s="623">
        <v>2</v>
      </c>
      <c r="BX72" s="330" t="s">
        <v>1323</v>
      </c>
      <c r="BY72" s="623">
        <v>2</v>
      </c>
      <c r="BZ72" s="323">
        <f>IF((BX72=BV72)=TRUE,0,1)</f>
        <v>0</v>
      </c>
      <c r="CA72" s="315"/>
      <c r="CD72" s="531"/>
      <c r="CE72" s="531">
        <v>0</v>
      </c>
      <c r="CF72" s="532">
        <f t="shared" si="49"/>
        <v>2</v>
      </c>
      <c r="CG72" s="531">
        <v>1</v>
      </c>
      <c r="CH72" s="532">
        <f t="shared" si="54"/>
        <v>2</v>
      </c>
      <c r="CI72" s="531">
        <v>1</v>
      </c>
      <c r="CJ72" s="532">
        <f t="shared" si="55"/>
        <v>2</v>
      </c>
      <c r="CK72" s="531">
        <v>1</v>
      </c>
      <c r="CL72" s="532">
        <f t="shared" si="56"/>
        <v>2</v>
      </c>
      <c r="CM72" s="531">
        <v>1</v>
      </c>
      <c r="CN72" s="532">
        <f t="shared" si="57"/>
        <v>2</v>
      </c>
      <c r="CO72" s="531">
        <v>1</v>
      </c>
      <c r="CP72" s="532">
        <f t="shared" si="58"/>
        <v>2</v>
      </c>
      <c r="CQ72" s="531">
        <v>0</v>
      </c>
      <c r="CR72" s="532">
        <f t="shared" si="43"/>
        <v>2</v>
      </c>
      <c r="CS72" s="531">
        <f t="shared" si="70"/>
        <v>17</v>
      </c>
      <c r="CT72" s="313"/>
      <c r="CU72" s="313"/>
      <c r="CV72" s="313"/>
      <c r="CW72" s="313"/>
      <c r="CX72" s="313"/>
      <c r="CY72" s="313"/>
      <c r="CZ72" s="313"/>
      <c r="DA72" s="313"/>
      <c r="DB72" s="313"/>
      <c r="DC72" s="313"/>
    </row>
    <row r="73" spans="1:107" s="2" customFormat="1" ht="16.5" customHeight="1">
      <c r="A73" s="1559" t="s">
        <v>1839</v>
      </c>
      <c r="B73" s="1560" t="s">
        <v>1325</v>
      </c>
      <c r="C73" s="23">
        <v>35</v>
      </c>
      <c r="D73" s="329" t="s">
        <v>1324</v>
      </c>
      <c r="E73" s="492" t="s">
        <v>259</v>
      </c>
      <c r="F73" s="625"/>
      <c r="G73" s="1561" t="s">
        <v>489</v>
      </c>
      <c r="H73" s="1578" t="s">
        <v>1840</v>
      </c>
      <c r="I73" s="1562">
        <v>10</v>
      </c>
      <c r="J73" s="658">
        <f>AVERAGE(BV73,BP73,BJ73,BD73,AX73,AR73,AL73,AF73,Z73,T73)</f>
        <v>273846403.176</v>
      </c>
      <c r="K73" s="664">
        <v>0</v>
      </c>
      <c r="L73" s="658">
        <f>AVERAGE(BX73,BR73,BL73,BF73,AZ73,AT73,AN73,AH73,AB73,V73)</f>
        <v>297716781.79399997</v>
      </c>
      <c r="M73" s="1550">
        <v>0</v>
      </c>
      <c r="N73" s="1529">
        <f t="shared" si="69"/>
        <v>0</v>
      </c>
      <c r="O73" s="1532">
        <f>I73-M73</f>
        <v>10</v>
      </c>
      <c r="P73" s="1532">
        <f t="shared" si="71"/>
        <v>7</v>
      </c>
      <c r="Q73" s="1535">
        <f t="shared" si="72"/>
        <v>0.77777777777777779</v>
      </c>
      <c r="R73" s="1538">
        <f t="shared" si="73"/>
        <v>0.3888888888888889</v>
      </c>
      <c r="S73" s="520"/>
      <c r="T73" s="338">
        <v>135959124.72</v>
      </c>
      <c r="U73" s="1543" t="str">
        <f>IF(T28+T29+T30+T31+T32+T33+T43+T44+T67+T68+T41+T42=0,10,"行业水平得分")</f>
        <v>行业水平得分</v>
      </c>
      <c r="V73" s="338">
        <v>150759849.93000001</v>
      </c>
      <c r="W73" s="1542" t="str">
        <f>IF(V28+V29+V30+V31+V32+V33+V43+V44+V67+V68+V41+V42=0,10,"行业水平得分")</f>
        <v>行业水平得分</v>
      </c>
      <c r="X73" s="323">
        <f t="shared" ref="X73:X75" si="74">IF(AND(T73=0,V73&lt;&gt;0),1,IF(AND(T73=0,V73=0),0,V73/T73-1))</f>
        <v>0.10886158057049311</v>
      </c>
      <c r="Y73" s="520"/>
      <c r="Z73" s="655">
        <v>655879164.85000002</v>
      </c>
      <c r="AA73" s="1543" t="str">
        <f>IF(Z28+Z29+Z30+Z31+Z32+Z33+Z43+Z44+Z67+Z68+Z41+Z42=0,10,"行业水平得分")</f>
        <v>行业水平得分</v>
      </c>
      <c r="AB73" s="655">
        <v>717814933.43999994</v>
      </c>
      <c r="AC73" s="1542" t="str">
        <f>IF(AB28+AB29+AB30+AB31+AB32+AB33+AB43+AB44+AB67+AB68+AB41+AB42=0,10,"行业水平得分")</f>
        <v>行业水平得分</v>
      </c>
      <c r="AD73" s="323">
        <f t="shared" ref="AD73:AD75" si="75">IF(AND(Z73=0,AB73&lt;&gt;0),1,IF(AND(Z73=0,AB73=0),0,AB73/Z73-1))</f>
        <v>9.4431675694660377E-2</v>
      </c>
      <c r="AE73" s="520"/>
      <c r="AF73" s="338">
        <v>443083589.52000004</v>
      </c>
      <c r="AG73" s="1543" t="str">
        <f>IF(AF28+AF29+AF30+AF31+AF32+AF33+AF43+AF44+AF67+AF68+AF41+AF42=0,10,"行业水平得分")</f>
        <v>行业水平得分</v>
      </c>
      <c r="AH73" s="338">
        <v>480317907.71999997</v>
      </c>
      <c r="AI73" s="1542" t="str">
        <f>IF(AH28+AH29+AH30+AH31+AH32+AH33+AH43+AH44+AH67+AH68+AH41+AH42=0,10,"行业水平得分")</f>
        <v>行业水平得分</v>
      </c>
      <c r="AJ73" s="323">
        <f t="shared" ref="AJ73:AJ75" si="76">IF(AND(AF73=0,AH73&lt;&gt;0),1,IF(AND(AF73=0,AH73=0),0,AH73/AF73-1))</f>
        <v>8.4034523238237124E-2</v>
      </c>
      <c r="AK73" s="520"/>
      <c r="AL73" s="338">
        <v>141837535.61000001</v>
      </c>
      <c r="AM73" s="1543">
        <f>IF(AL28+AL29+AL30+AL31+AL32+AL33+AL43+AL44+AL67+AL68+AL41+AL42=0,10,"行业水平得分")</f>
        <v>10</v>
      </c>
      <c r="AN73" s="338">
        <v>167275700.56999999</v>
      </c>
      <c r="AO73" s="1547" t="str">
        <f>IF(AN28+AN29+AN30+AN31+AN32+AN33+AN43+AN44+AN67+AN68+AN41+AN42=0,10,"行业水平得分")</f>
        <v>行业水平得分</v>
      </c>
      <c r="AP73" s="323">
        <f t="shared" ref="AP73:AP75" si="77">IF(AND(AL73=0,AN73&lt;&gt;0),1,IF(AND(AL73=0,AN73=0),0,AN73/AL73-1))</f>
        <v>0.17934720065882548</v>
      </c>
      <c r="AQ73" s="520"/>
      <c r="AR73" s="669">
        <v>380168626.97000003</v>
      </c>
      <c r="AS73" s="1542" t="str">
        <f>IF(AR28+AR29+AR30+AR31+AR32+AR33+AR43+AR44+AR67+AR68+AR41+AR42=0,10,"行业水平得分")</f>
        <v>行业水平得分</v>
      </c>
      <c r="AT73" s="669">
        <v>410195478.64000005</v>
      </c>
      <c r="AU73" s="1542" t="str">
        <f>IF(AT28+AT29+AT30+AT31+AT32+AT33+AT43+AT44+AT67+AT68+AT41+AT42=0,10,"行业水平得分")</f>
        <v>行业水平得分</v>
      </c>
      <c r="AV73" s="323">
        <f t="shared" ref="AV73:AV75" si="78">IF(AND(AR73=0,AT73&lt;&gt;0),1,IF(AND(AR73=0,AT73=0),0,AT73/AR73-1))</f>
        <v>7.8982981602975677E-2</v>
      </c>
      <c r="AW73" s="520"/>
      <c r="AX73" s="669">
        <v>406813233.17999989</v>
      </c>
      <c r="AY73" s="1542" t="str">
        <f>IF(AX28+AX29+AX30+AX31+AX32+AX33+AX43+AX44+AX67+AX68+AX41+AX42=0,10,"行业水平得分")</f>
        <v>行业水平得分</v>
      </c>
      <c r="AZ73" s="669">
        <v>439731394.57999992</v>
      </c>
      <c r="BA73" s="1542" t="str">
        <f>IF(AZ28+AZ29+AZ30+AZ31+AZ32+AZ33+AZ43+AZ44+AZ67+AZ68+AZ41+AZ42=0,10,"行业水平得分")</f>
        <v>行业水平得分</v>
      </c>
      <c r="BB73" s="323">
        <f t="shared" ref="BB73:BB75" si="79">IF(AND(AX73=0,AZ73&lt;&gt;0),1,IF(AND(AX73=0,AZ73=0),0,AZ73/AX73-1))</f>
        <v>8.0917135223659065E-2</v>
      </c>
      <c r="BC73" s="520"/>
      <c r="BD73" s="669">
        <v>86266136.519999996</v>
      </c>
      <c r="BE73" s="1543">
        <f>IF(BD28+BD29+BD30+BD31+BD32+BD33+BD43+BD44+BD67+BD68+BD41+BD42=0,10,"行业水平得分")</f>
        <v>10</v>
      </c>
      <c r="BF73" s="669">
        <v>89135757.319999993</v>
      </c>
      <c r="BG73" s="1543">
        <f>IF(BF28+BF29+BF30+BF31+BF32+BF33+BF43+BF44+BF67+BF68+BF41+BF42=0,10,"行业水平得分")</f>
        <v>10</v>
      </c>
      <c r="BH73" s="323">
        <f t="shared" ref="BH73:BH75" si="80">IF(AND(BD73=0,BF73&lt;&gt;0),1,IF(AND(BD73=0,BF73=0),0,BF73/BD73-1))</f>
        <v>3.3264742293573235E-2</v>
      </c>
      <c r="BI73" s="520"/>
      <c r="BJ73" s="669">
        <v>302900686.05000001</v>
      </c>
      <c r="BK73" s="1542" t="str">
        <f>IF(BJ28+BJ29+BJ30+BJ31+BJ32+BJ33+BJ43+BJ44+BJ67+BJ68+BJ41+BJ42=0,10,"行业水平得分")</f>
        <v>行业水平得分</v>
      </c>
      <c r="BL73" s="669">
        <v>325747164.19999999</v>
      </c>
      <c r="BM73" s="1542" t="str">
        <f>IF(BL28+BL29+BL30+BL31+BL32+BL33+BL43+BL44+BL67+BL68+BL41+BL42=0,10,"行业水平得分")</f>
        <v>行业水平得分</v>
      </c>
      <c r="BN73" s="323">
        <f t="shared" ref="BN73:BN75" si="81">IF(AND(BJ73=0,BL73&lt;&gt;0),1,IF(AND(BJ73=0,BL73=0),0,BL73/BJ73-1))</f>
        <v>7.5425640159259011E-2</v>
      </c>
      <c r="BO73" s="520"/>
      <c r="BP73" s="669">
        <v>75715434.870000005</v>
      </c>
      <c r="BQ73" s="1543">
        <f>IF(BP28+BP29+BP30+BP31+BP32+BP33+BP43+BP44+BP67+BP68+BP41+BP42=0,10,"行业水平得分")</f>
        <v>10</v>
      </c>
      <c r="BR73" s="669">
        <v>79523892.569999993</v>
      </c>
      <c r="BS73" s="1543">
        <f>IF(BR28+BR29+BR30+BR31+BR32+BR33+BR43+BR44+BR67+BR68+BR41+BR42=0,10,"行业水平得分")</f>
        <v>10</v>
      </c>
      <c r="BT73" s="323">
        <f t="shared" ref="BT73:BT75" si="82">IF(AND(BP73=0,BR73&lt;&gt;0),1,IF(AND(BP73=0,BR73=0),0,BR73/BP73-1))</f>
        <v>5.0299621293055319E-2</v>
      </c>
      <c r="BU73" s="520"/>
      <c r="BV73" s="669">
        <v>109840499.47</v>
      </c>
      <c r="BW73" s="1542" t="str">
        <f>IF(BV28+BV29+BV30+BV31+BV32+BV33+BV43+BV44+BV67+BV68+BV41+BV42=0,10,"行业水平得分")</f>
        <v>行业水平得分</v>
      </c>
      <c r="BX73" s="669">
        <v>116665738.97000001</v>
      </c>
      <c r="BY73" s="1542" t="str">
        <f>IF(BX28+BX29+BX30+BX31+BX32+BX33+BX43+BX44+BX67+BX68+BX41+BX42=0,10,"行业水平得分")</f>
        <v>行业水平得分</v>
      </c>
      <c r="BZ73" s="323">
        <f t="shared" ref="BZ73:BZ75" si="83">IF(AND(BV73=0,BX73&lt;&gt;0),1,IF(AND(BV73=0,BX73=0),0,BX73/BV73-1))</f>
        <v>6.2137731828724396E-2</v>
      </c>
      <c r="CA73" s="315"/>
      <c r="CD73" s="531"/>
      <c r="CE73" s="531">
        <v>1</v>
      </c>
      <c r="CF73" s="533">
        <v>9</v>
      </c>
      <c r="CG73" s="531">
        <v>1</v>
      </c>
      <c r="CH73" s="533">
        <v>5</v>
      </c>
      <c r="CI73" s="531">
        <v>1</v>
      </c>
      <c r="CJ73" s="533">
        <v>10</v>
      </c>
      <c r="CK73" s="531">
        <v>1</v>
      </c>
      <c r="CL73" s="533">
        <v>9</v>
      </c>
      <c r="CM73" s="531">
        <v>1</v>
      </c>
      <c r="CN73" s="533">
        <v>9</v>
      </c>
      <c r="CO73" s="531">
        <v>1</v>
      </c>
      <c r="CP73" s="533">
        <v>10</v>
      </c>
      <c r="CQ73" s="531">
        <v>0</v>
      </c>
      <c r="CR73" s="532">
        <v>0</v>
      </c>
      <c r="CS73" s="531">
        <f t="shared" si="70"/>
        <v>58</v>
      </c>
      <c r="CT73" s="313"/>
      <c r="CU73" s="313"/>
      <c r="CV73" s="313"/>
      <c r="CW73" s="313"/>
      <c r="CX73" s="313"/>
      <c r="CY73" s="313"/>
      <c r="CZ73" s="313"/>
      <c r="DA73" s="313"/>
      <c r="DB73" s="313"/>
      <c r="DC73" s="313"/>
    </row>
    <row r="74" spans="1:107" s="2" customFormat="1" ht="14.25" customHeight="1">
      <c r="A74" s="1554"/>
      <c r="B74" s="1556"/>
      <c r="C74" s="23">
        <v>36</v>
      </c>
      <c r="D74" s="329" t="s">
        <v>1327</v>
      </c>
      <c r="E74" s="492" t="s">
        <v>259</v>
      </c>
      <c r="F74" s="625"/>
      <c r="G74" s="1561"/>
      <c r="H74" s="1579"/>
      <c r="I74" s="1562"/>
      <c r="J74" s="658">
        <f>AVERAGE(BV74,BP74,BJ74,BD74,AX74,AR74,AL74,AF74,Z74,T74)</f>
        <v>14397557.574000001</v>
      </c>
      <c r="K74" s="664"/>
      <c r="L74" s="658">
        <f>AVERAGE(BX74,BR74,BL74,BF74,AZ74,AT74,AN74,AH74,AB74,V74)</f>
        <v>14550880.921</v>
      </c>
      <c r="M74" s="1551"/>
      <c r="N74" s="1530"/>
      <c r="O74" s="1533"/>
      <c r="P74" s="1533"/>
      <c r="Q74" s="1536"/>
      <c r="R74" s="1539"/>
      <c r="S74" s="520"/>
      <c r="T74" s="338">
        <v>4940300</v>
      </c>
      <c r="U74" s="1543"/>
      <c r="V74" s="338">
        <v>5135200</v>
      </c>
      <c r="W74" s="1542"/>
      <c r="X74" s="323">
        <f t="shared" si="74"/>
        <v>3.9451045483067881E-2</v>
      </c>
      <c r="Y74" s="520"/>
      <c r="Z74" s="655">
        <v>26385577.34</v>
      </c>
      <c r="AA74" s="1543"/>
      <c r="AB74" s="655">
        <v>30100846.810000002</v>
      </c>
      <c r="AC74" s="1542"/>
      <c r="AD74" s="323">
        <f t="shared" si="75"/>
        <v>0.14080682875063455</v>
      </c>
      <c r="AE74" s="520"/>
      <c r="AF74" s="338">
        <v>33472800</v>
      </c>
      <c r="AG74" s="1543"/>
      <c r="AH74" s="338">
        <v>32649400</v>
      </c>
      <c r="AI74" s="1542"/>
      <c r="AJ74" s="323">
        <f t="shared" si="76"/>
        <v>-2.4599077459907748E-2</v>
      </c>
      <c r="AK74" s="520"/>
      <c r="AL74" s="338">
        <v>17000</v>
      </c>
      <c r="AM74" s="1543"/>
      <c r="AN74" s="338">
        <v>20000</v>
      </c>
      <c r="AO74" s="1548"/>
      <c r="AP74" s="323">
        <f t="shared" si="77"/>
        <v>0.17647058823529416</v>
      </c>
      <c r="AQ74" s="520"/>
      <c r="AR74" s="669">
        <v>47008605</v>
      </c>
      <c r="AS74" s="1542"/>
      <c r="AT74" s="669">
        <v>45303469</v>
      </c>
      <c r="AU74" s="1542"/>
      <c r="AV74" s="323">
        <f t="shared" si="78"/>
        <v>-3.6272848343404385E-2</v>
      </c>
      <c r="AW74" s="520"/>
      <c r="AX74" s="669">
        <v>15169800</v>
      </c>
      <c r="AY74" s="1542"/>
      <c r="AZ74" s="669">
        <v>14569700</v>
      </c>
      <c r="BA74" s="1542"/>
      <c r="BB74" s="323">
        <f t="shared" si="79"/>
        <v>-3.9558860367308712E-2</v>
      </c>
      <c r="BC74" s="520"/>
      <c r="BD74" s="669">
        <v>8371330</v>
      </c>
      <c r="BE74" s="1543"/>
      <c r="BF74" s="669">
        <v>8202430</v>
      </c>
      <c r="BG74" s="1543"/>
      <c r="BH74" s="323">
        <f t="shared" si="80"/>
        <v>-2.0176005485388782E-2</v>
      </c>
      <c r="BI74" s="520"/>
      <c r="BJ74" s="669">
        <v>4531363.4000000004</v>
      </c>
      <c r="BK74" s="1542"/>
      <c r="BL74" s="669">
        <v>4586963.4000000004</v>
      </c>
      <c r="BM74" s="1542"/>
      <c r="BN74" s="323">
        <f t="shared" si="81"/>
        <v>1.2270037755082619E-2</v>
      </c>
      <c r="BO74" s="520"/>
      <c r="BP74" s="669">
        <v>95400</v>
      </c>
      <c r="BQ74" s="1543"/>
      <c r="BR74" s="669">
        <v>87900</v>
      </c>
      <c r="BS74" s="1543"/>
      <c r="BT74" s="323">
        <f t="shared" si="82"/>
        <v>-7.8616352201257844E-2</v>
      </c>
      <c r="BU74" s="520"/>
      <c r="BV74" s="669">
        <v>3983400</v>
      </c>
      <c r="BW74" s="1542"/>
      <c r="BX74" s="669">
        <v>4852900</v>
      </c>
      <c r="BY74" s="1542"/>
      <c r="BZ74" s="323">
        <f t="shared" si="83"/>
        <v>0.21828086559220772</v>
      </c>
      <c r="CA74" s="315"/>
      <c r="CD74" s="531"/>
      <c r="CE74" s="531"/>
      <c r="CF74" s="532"/>
      <c r="CG74" s="531"/>
      <c r="CH74" s="532"/>
      <c r="CI74" s="531"/>
      <c r="CJ74" s="532"/>
      <c r="CK74" s="531"/>
      <c r="CL74" s="532"/>
      <c r="CM74" s="531"/>
      <c r="CN74" s="532"/>
      <c r="CO74" s="531"/>
      <c r="CP74" s="509"/>
      <c r="CQ74" s="531"/>
      <c r="CR74" s="532"/>
      <c r="CS74" s="531"/>
      <c r="CT74" s="313"/>
      <c r="CU74" s="313"/>
      <c r="CV74" s="313"/>
      <c r="CW74" s="313"/>
      <c r="CX74" s="313"/>
      <c r="CY74" s="313"/>
      <c r="CZ74" s="313"/>
      <c r="DA74" s="313"/>
      <c r="DB74" s="313"/>
      <c r="DC74" s="313"/>
    </row>
    <row r="75" spans="1:107" s="2" customFormat="1" ht="16.5" customHeight="1">
      <c r="A75" s="1554"/>
      <c r="B75" s="1556"/>
      <c r="C75" s="23">
        <v>37</v>
      </c>
      <c r="D75" s="329" t="s">
        <v>2051</v>
      </c>
      <c r="E75" s="492" t="s">
        <v>259</v>
      </c>
      <c r="F75" s="625"/>
      <c r="G75" s="1561"/>
      <c r="H75" s="1580"/>
      <c r="I75" s="1562"/>
      <c r="J75" s="658">
        <f>AVERAGE(BV75,BP75,BJ75,BD75,AX75,AR75,AL75,AF75,Z75,T75)</f>
        <v>843812.15</v>
      </c>
      <c r="K75" s="664"/>
      <c r="L75" s="658">
        <f>AVERAGE(BX75,BR75,BL75,BF75,AZ75,AT75,AN75,AH75,AB75,V75)</f>
        <v>266054.41000000003</v>
      </c>
      <c r="M75" s="1552"/>
      <c r="N75" s="1531"/>
      <c r="O75" s="1534"/>
      <c r="P75" s="1534"/>
      <c r="Q75" s="1537"/>
      <c r="R75" s="1540"/>
      <c r="S75" s="520"/>
      <c r="T75" s="338">
        <v>0</v>
      </c>
      <c r="U75" s="1543"/>
      <c r="V75" s="338">
        <v>0</v>
      </c>
      <c r="W75" s="1542"/>
      <c r="X75" s="323">
        <f t="shared" si="74"/>
        <v>0</v>
      </c>
      <c r="Y75" s="520"/>
      <c r="Z75" s="655">
        <v>130569.9</v>
      </c>
      <c r="AA75" s="1543"/>
      <c r="AB75" s="655">
        <v>277945.40000000002</v>
      </c>
      <c r="AC75" s="1542"/>
      <c r="AD75" s="323">
        <f t="shared" si="75"/>
        <v>1.1287096030555284</v>
      </c>
      <c r="AE75" s="520"/>
      <c r="AF75" s="338">
        <v>866723</v>
      </c>
      <c r="AG75" s="1543"/>
      <c r="AH75" s="338">
        <v>770079.10000000009</v>
      </c>
      <c r="AI75" s="1542"/>
      <c r="AJ75" s="323">
        <f t="shared" si="76"/>
        <v>-0.11150494448630055</v>
      </c>
      <c r="AK75" s="520"/>
      <c r="AL75" s="338">
        <v>5912900</v>
      </c>
      <c r="AM75" s="1543"/>
      <c r="AN75" s="338">
        <v>12900</v>
      </c>
      <c r="AO75" s="1549"/>
      <c r="AP75" s="323">
        <f t="shared" si="77"/>
        <v>-0.99781832941534609</v>
      </c>
      <c r="AQ75" s="520"/>
      <c r="AR75" s="669">
        <v>1033962.3</v>
      </c>
      <c r="AS75" s="1542"/>
      <c r="AT75" s="669">
        <v>939089.6</v>
      </c>
      <c r="AU75" s="1542"/>
      <c r="AV75" s="323">
        <f t="shared" si="78"/>
        <v>-9.1756440249320614E-2</v>
      </c>
      <c r="AW75" s="520"/>
      <c r="AX75" s="669">
        <v>203695.5</v>
      </c>
      <c r="AY75" s="1542"/>
      <c r="AZ75" s="669">
        <v>224088.5</v>
      </c>
      <c r="BA75" s="1542"/>
      <c r="BB75" s="323">
        <f t="shared" si="79"/>
        <v>0.10011512281812807</v>
      </c>
      <c r="BC75" s="520"/>
      <c r="BD75" s="669">
        <v>1006</v>
      </c>
      <c r="BE75" s="1543"/>
      <c r="BF75" s="669">
        <v>1006</v>
      </c>
      <c r="BG75" s="1543"/>
      <c r="BH75" s="323">
        <f t="shared" si="80"/>
        <v>0</v>
      </c>
      <c r="BI75" s="520"/>
      <c r="BJ75" s="669">
        <v>89656.1</v>
      </c>
      <c r="BK75" s="1542"/>
      <c r="BL75" s="669">
        <v>141159.5</v>
      </c>
      <c r="BM75" s="1542"/>
      <c r="BN75" s="323">
        <f t="shared" si="81"/>
        <v>0.57445505659960672</v>
      </c>
      <c r="BO75" s="520"/>
      <c r="BP75" s="669">
        <v>197596.7</v>
      </c>
      <c r="BQ75" s="1543"/>
      <c r="BR75" s="669">
        <v>292264</v>
      </c>
      <c r="BS75" s="1543"/>
      <c r="BT75" s="323">
        <f t="shared" si="82"/>
        <v>0.47909352737166144</v>
      </c>
      <c r="BU75" s="520"/>
      <c r="BV75" s="669">
        <v>2012</v>
      </c>
      <c r="BW75" s="1542"/>
      <c r="BX75" s="669">
        <v>2012</v>
      </c>
      <c r="BY75" s="1542"/>
      <c r="BZ75" s="323">
        <f t="shared" si="83"/>
        <v>0</v>
      </c>
      <c r="CA75" s="315"/>
      <c r="CD75" s="531"/>
      <c r="CE75" s="531"/>
      <c r="CF75" s="532"/>
      <c r="CG75" s="531"/>
      <c r="CH75" s="532"/>
      <c r="CI75" s="531"/>
      <c r="CJ75" s="532"/>
      <c r="CK75" s="531"/>
      <c r="CL75" s="532"/>
      <c r="CM75" s="531"/>
      <c r="CN75" s="532"/>
      <c r="CO75" s="531"/>
      <c r="CP75" s="532"/>
      <c r="CQ75" s="531"/>
      <c r="CR75" s="532"/>
      <c r="CS75" s="531"/>
      <c r="CT75" s="313"/>
      <c r="CU75" s="313"/>
      <c r="CV75" s="313"/>
      <c r="CW75" s="313"/>
      <c r="CX75" s="313"/>
      <c r="CY75" s="313"/>
      <c r="CZ75" s="313"/>
      <c r="DA75" s="313"/>
      <c r="DB75" s="313"/>
      <c r="DC75" s="313"/>
    </row>
    <row r="76" spans="1:107" s="267" customFormat="1" ht="14.25">
      <c r="A76" s="395"/>
      <c r="B76" s="395"/>
      <c r="C76" s="558"/>
      <c r="D76" s="557" t="s">
        <v>1841</v>
      </c>
      <c r="E76" s="559"/>
      <c r="F76" s="649"/>
      <c r="G76" s="649"/>
      <c r="H76" s="650"/>
      <c r="I76" s="544">
        <f>SUM(I4:I75)</f>
        <v>90</v>
      </c>
      <c r="J76" s="662"/>
      <c r="K76" s="343"/>
      <c r="L76" s="662"/>
      <c r="M76" s="343"/>
      <c r="N76" s="512"/>
      <c r="O76" s="538">
        <f>SUM(O4:O75)</f>
        <v>15.517136779422231</v>
      </c>
      <c r="P76" s="538">
        <f>O76*0.7</f>
        <v>10.861995745595561</v>
      </c>
      <c r="Q76" s="538">
        <f>P76/9</f>
        <v>1.2068884161772846</v>
      </c>
      <c r="R76" s="538">
        <f t="shared" si="73"/>
        <v>0.6034442080886423</v>
      </c>
      <c r="S76" s="520"/>
      <c r="T76" s="662"/>
      <c r="U76" s="343">
        <f>SUM(U4:U75)</f>
        <v>79.166666666666671</v>
      </c>
      <c r="V76" s="662"/>
      <c r="W76" s="343">
        <f>SUM(W4:W75)</f>
        <v>77.63636363636364</v>
      </c>
      <c r="X76" s="343"/>
      <c r="Y76" s="520"/>
      <c r="Z76" s="662"/>
      <c r="AA76" s="343">
        <f>SUM(AA4:AA75)</f>
        <v>76.926116838487971</v>
      </c>
      <c r="AB76" s="662"/>
      <c r="AC76" s="343">
        <f>SUM(AC4:AC75)</f>
        <v>73.871681415929203</v>
      </c>
      <c r="AD76" s="343"/>
      <c r="AE76" s="343"/>
      <c r="AF76" s="662"/>
      <c r="AG76" s="343">
        <f>SUM(AG4:AG75)</f>
        <v>76.666666666666671</v>
      </c>
      <c r="AH76" s="662"/>
      <c r="AI76" s="343">
        <f>SUM(AI4:AI75)</f>
        <v>76.201986754966896</v>
      </c>
      <c r="AJ76" s="343"/>
      <c r="AK76" s="343"/>
      <c r="AL76" s="662"/>
      <c r="AM76" s="343">
        <f>SUM(AM4:AM75)</f>
        <v>85.478260869565219</v>
      </c>
      <c r="AN76" s="662"/>
      <c r="AO76" s="343">
        <f>SUM(AO4:AO75)</f>
        <v>74.009090909090901</v>
      </c>
      <c r="AP76" s="343"/>
      <c r="AQ76" s="343"/>
      <c r="AR76" s="662"/>
      <c r="AS76" s="343">
        <f>SUM(AS4:AS75)</f>
        <v>74.789915966386559</v>
      </c>
      <c r="AT76" s="662"/>
      <c r="AU76" s="343">
        <f>SUM(AU4:AU75)</f>
        <v>74.92307692307692</v>
      </c>
      <c r="AV76" s="343"/>
      <c r="AW76" s="343"/>
      <c r="AX76" s="662"/>
      <c r="AY76" s="343">
        <f>SUM(AY4:AY75)</f>
        <v>74.52459016393442</v>
      </c>
      <c r="AZ76" s="662"/>
      <c r="BA76" s="343">
        <f>SUM(BA4:BA75)</f>
        <v>71.353932584269671</v>
      </c>
      <c r="BB76" s="343"/>
      <c r="BC76" s="343"/>
      <c r="BD76" s="343"/>
      <c r="BE76" s="343">
        <f>SUM(BE4:BE75)</f>
        <v>86.882608695652181</v>
      </c>
      <c r="BF76" s="662"/>
      <c r="BG76" s="343">
        <f>SUM(BG4:BG75)</f>
        <v>82.924778761061944</v>
      </c>
      <c r="BH76" s="343"/>
      <c r="BI76" s="343"/>
      <c r="BJ76" s="343"/>
      <c r="BK76" s="343">
        <f>SUM(BK4:BK75)</f>
        <v>76.085365853658544</v>
      </c>
      <c r="BL76" s="662"/>
      <c r="BM76" s="343">
        <f>SUM(BM4:BM75)</f>
        <v>76.026785714285722</v>
      </c>
      <c r="BN76" s="343"/>
      <c r="BO76" s="343"/>
      <c r="BP76" s="343"/>
      <c r="BQ76" s="343">
        <f>SUM(BQ4:BQ75)</f>
        <v>81.628205128205124</v>
      </c>
      <c r="BR76" s="343"/>
      <c r="BS76" s="343">
        <f>SUM(BS4:BS75)</f>
        <v>81.439759036144579</v>
      </c>
      <c r="BT76" s="343"/>
      <c r="BU76" s="343"/>
      <c r="BV76" s="343"/>
      <c r="BW76" s="343">
        <f>SUM(BW4:BW75)</f>
        <v>74.274193548387103</v>
      </c>
      <c r="BX76" s="343"/>
      <c r="BY76" s="343">
        <f>SUM(BY4:BY75)</f>
        <v>76.441176470588232</v>
      </c>
      <c r="BZ76" s="343"/>
      <c r="CA76" s="344"/>
      <c r="CD76" s="531"/>
      <c r="CE76" s="534"/>
      <c r="CF76" s="535"/>
      <c r="CG76" s="534"/>
      <c r="CH76" s="535"/>
      <c r="CI76" s="534"/>
      <c r="CJ76" s="535"/>
      <c r="CK76" s="534"/>
      <c r="CL76" s="535"/>
      <c r="CM76" s="534"/>
      <c r="CN76" s="535"/>
      <c r="CO76" s="534"/>
      <c r="CP76" s="535"/>
      <c r="CQ76" s="534"/>
      <c r="CR76" s="535"/>
      <c r="CS76" s="531"/>
      <c r="CT76" s="345"/>
      <c r="CU76" s="345"/>
      <c r="CV76" s="345"/>
      <c r="CW76" s="345"/>
      <c r="CX76" s="345"/>
      <c r="CY76" s="345"/>
      <c r="CZ76" s="345"/>
      <c r="DA76" s="345"/>
      <c r="DB76" s="345"/>
      <c r="DC76" s="345"/>
    </row>
    <row r="77" spans="1:107" s="2" customFormat="1" ht="14.25">
      <c r="A77" s="347"/>
      <c r="B77" s="347"/>
      <c r="C77" s="268"/>
      <c r="D77" s="549" t="s">
        <v>1842</v>
      </c>
      <c r="E77" s="347"/>
      <c r="F77" s="349"/>
      <c r="G77" s="349"/>
      <c r="H77" s="348"/>
      <c r="I77" s="624">
        <v>80</v>
      </c>
      <c r="J77" s="348"/>
      <c r="K77" s="349"/>
      <c r="L77" s="348"/>
      <c r="M77" s="703">
        <f>SUM(M4:M72)</f>
        <v>74.482863220577769</v>
      </c>
      <c r="O77" s="845">
        <f>SUM(O4:O72)</f>
        <v>5.5171367794222315</v>
      </c>
      <c r="P77" s="538">
        <f t="shared" ref="P77" si="84">O77*0.7</f>
        <v>3.8619957455955616</v>
      </c>
      <c r="Q77" s="538">
        <f t="shared" ref="Q77" si="85">P77/9</f>
        <v>0.42911063839950686</v>
      </c>
      <c r="R77" s="538">
        <f t="shared" si="73"/>
        <v>0.21455531919975343</v>
      </c>
      <c r="S77" s="1071" t="s">
        <v>1843</v>
      </c>
      <c r="T77" s="348"/>
      <c r="U77" s="349"/>
      <c r="V77" s="348"/>
      <c r="W77" s="370"/>
      <c r="X77" s="350"/>
      <c r="Y77" s="350"/>
      <c r="Z77" s="667"/>
      <c r="AA77" s="372"/>
      <c r="AB77" s="667"/>
      <c r="AC77" s="372"/>
      <c r="AD77" s="351"/>
      <c r="AE77" s="351"/>
      <c r="AF77" s="348"/>
      <c r="AG77" s="370"/>
      <c r="AH77" s="348"/>
      <c r="AI77" s="370"/>
      <c r="AJ77" s="350"/>
      <c r="AK77" s="350"/>
      <c r="AL77" s="667"/>
      <c r="AM77" s="372"/>
      <c r="AN77" s="667"/>
      <c r="AO77" s="372"/>
      <c r="AP77" s="351"/>
      <c r="AQ77" s="351"/>
      <c r="AR77" s="348"/>
      <c r="AS77" s="370"/>
      <c r="AT77" s="348"/>
      <c r="AU77" s="370"/>
      <c r="AV77" s="350"/>
      <c r="AW77" s="350"/>
      <c r="AX77" s="667"/>
      <c r="AY77" s="372"/>
      <c r="AZ77" s="667"/>
      <c r="BA77" s="372"/>
      <c r="BB77" s="351"/>
      <c r="BC77" s="351"/>
      <c r="BD77" s="313"/>
      <c r="BE77" s="370"/>
      <c r="BF77" s="348"/>
      <c r="BG77" s="370"/>
      <c r="BH77" s="350"/>
      <c r="BI77" s="350"/>
      <c r="BJ77" s="315"/>
      <c r="BK77" s="372"/>
      <c r="BL77" s="667"/>
      <c r="BM77" s="372"/>
      <c r="BN77" s="351"/>
      <c r="BO77" s="351"/>
      <c r="BP77" s="313"/>
      <c r="BQ77" s="370"/>
      <c r="BR77" s="313"/>
      <c r="BS77" s="370"/>
      <c r="BT77" s="350"/>
      <c r="BU77" s="350"/>
      <c r="BV77" s="315"/>
      <c r="BW77" s="372"/>
      <c r="BX77" s="315"/>
      <c r="BY77" s="372"/>
      <c r="BZ77" s="351"/>
      <c r="CA77" s="315"/>
      <c r="CB77" s="315"/>
      <c r="CC77" s="313"/>
      <c r="CD77" s="526"/>
      <c r="CE77" s="526"/>
      <c r="CF77" s="527"/>
      <c r="CG77" s="526"/>
      <c r="CH77" s="527"/>
      <c r="CI77" s="526"/>
      <c r="CJ77" s="527"/>
      <c r="CK77" s="526"/>
      <c r="CL77" s="527"/>
      <c r="CM77" s="526"/>
      <c r="CN77" s="527"/>
      <c r="CO77" s="526"/>
      <c r="CP77" s="527"/>
      <c r="CQ77" s="526"/>
      <c r="CR77" s="527"/>
      <c r="CS77" s="526"/>
      <c r="CT77" s="313"/>
      <c r="CU77" s="313"/>
      <c r="CV77" s="313"/>
      <c r="CW77" s="313"/>
      <c r="CX77" s="313"/>
      <c r="CY77" s="313"/>
      <c r="CZ77" s="313"/>
      <c r="DA77" s="313"/>
      <c r="DB77" s="313"/>
      <c r="DC77" s="313"/>
    </row>
    <row r="78" spans="1:107" s="2" customFormat="1" ht="14.25">
      <c r="A78" s="347"/>
      <c r="B78" s="347"/>
      <c r="C78" s="268"/>
      <c r="D78" s="549" t="s">
        <v>1844</v>
      </c>
      <c r="F78" s="349"/>
      <c r="G78" s="349"/>
      <c r="H78" s="313"/>
      <c r="I78" s="624">
        <v>10</v>
      </c>
      <c r="J78" s="420"/>
      <c r="K78" s="369"/>
      <c r="L78" s="420"/>
      <c r="M78" s="704">
        <f>M73</f>
        <v>0</v>
      </c>
      <c r="O78" s="845"/>
      <c r="P78" s="538"/>
      <c r="Q78" s="538"/>
      <c r="R78" s="1076"/>
      <c r="S78" s="1072"/>
      <c r="T78" s="348"/>
      <c r="U78" s="349"/>
      <c r="V78" s="348"/>
      <c r="W78" s="349"/>
      <c r="X78" s="313"/>
      <c r="Y78" s="313"/>
      <c r="Z78" s="667"/>
      <c r="AA78" s="373"/>
      <c r="AB78" s="667"/>
      <c r="AC78" s="373"/>
      <c r="AD78" s="315"/>
      <c r="AE78" s="315"/>
      <c r="AF78" s="348"/>
      <c r="AG78" s="349"/>
      <c r="AH78" s="348"/>
      <c r="AI78" s="349"/>
      <c r="AJ78" s="313"/>
      <c r="AK78" s="313"/>
      <c r="AL78" s="667"/>
      <c r="AM78" s="373"/>
      <c r="AN78" s="667"/>
      <c r="AO78" s="373"/>
      <c r="AP78" s="315"/>
      <c r="AQ78" s="315"/>
      <c r="AR78" s="348"/>
      <c r="AS78" s="349"/>
      <c r="AT78" s="348"/>
      <c r="AU78" s="349"/>
      <c r="AV78" s="313"/>
      <c r="AW78" s="313"/>
      <c r="AX78" s="667"/>
      <c r="AY78" s="373"/>
      <c r="AZ78" s="667"/>
      <c r="BA78" s="373"/>
      <c r="BB78" s="315"/>
      <c r="BC78" s="315"/>
      <c r="BD78" s="313"/>
      <c r="BE78" s="349"/>
      <c r="BF78" s="348"/>
      <c r="BG78" s="349"/>
      <c r="BH78" s="313"/>
      <c r="BI78" s="313"/>
      <c r="BJ78" s="315"/>
      <c r="BK78" s="373"/>
      <c r="BL78" s="667"/>
      <c r="BM78" s="373"/>
      <c r="BN78" s="315"/>
      <c r="BO78" s="315"/>
      <c r="BP78" s="313"/>
      <c r="BQ78" s="349"/>
      <c r="BR78" s="313"/>
      <c r="BS78" s="349"/>
      <c r="BT78" s="313"/>
      <c r="BU78" s="313"/>
      <c r="BV78" s="315"/>
      <c r="BW78" s="373"/>
      <c r="BX78" s="315"/>
      <c r="BY78" s="373"/>
      <c r="BZ78" s="315"/>
      <c r="CA78" s="315"/>
      <c r="CB78" s="315"/>
      <c r="CC78" s="313"/>
      <c r="CD78" s="526"/>
      <c r="CE78" s="526"/>
      <c r="CF78" s="527"/>
      <c r="CG78" s="526"/>
      <c r="CH78" s="527"/>
      <c r="CI78" s="526"/>
      <c r="CJ78" s="527"/>
      <c r="CK78" s="526"/>
      <c r="CL78" s="527"/>
      <c r="CM78" s="526"/>
      <c r="CN78" s="527"/>
      <c r="CO78" s="526"/>
      <c r="CP78" s="527"/>
      <c r="CQ78" s="526"/>
      <c r="CR78" s="527"/>
      <c r="CS78" s="526"/>
      <c r="CT78" s="313"/>
      <c r="CU78" s="313"/>
      <c r="CV78" s="313"/>
      <c r="CW78" s="313"/>
      <c r="CX78" s="313"/>
      <c r="CY78" s="313"/>
      <c r="CZ78" s="313"/>
      <c r="DA78" s="313"/>
      <c r="DB78" s="313"/>
      <c r="DC78" s="313"/>
    </row>
    <row r="79" spans="1:107" s="2" customFormat="1" ht="14.25">
      <c r="A79" s="347"/>
      <c r="B79" s="347"/>
      <c r="C79" s="268"/>
      <c r="D79" s="548" t="s">
        <v>1845</v>
      </c>
      <c r="F79" s="349"/>
      <c r="G79" s="349"/>
      <c r="H79" s="313"/>
      <c r="I79" s="352"/>
      <c r="J79" s="420"/>
      <c r="K79" s="369"/>
      <c r="L79" s="420"/>
      <c r="M79" s="352"/>
      <c r="N79" s="352"/>
      <c r="O79" s="539">
        <f t="shared" ref="O79:O84" si="86">AVERAGE(W79,AC79,AI79,AO79,AU79,BA79,BG79,BM79,BS79,BY79)</f>
        <v>76.482863220577769</v>
      </c>
      <c r="P79" s="539"/>
      <c r="Q79" s="539"/>
      <c r="R79" s="539"/>
      <c r="S79" s="430"/>
      <c r="T79" s="651"/>
      <c r="U79" s="540">
        <f>SUBTOTAL(9,U4:U75)</f>
        <v>79.166666666666671</v>
      </c>
      <c r="V79" s="651"/>
      <c r="W79" s="540">
        <f>SUBTOTAL(9,W4:W75)</f>
        <v>77.63636363636364</v>
      </c>
      <c r="X79" s="520"/>
      <c r="Y79" s="520"/>
      <c r="Z79" s="651"/>
      <c r="AA79" s="540">
        <f>SUBTOTAL(9,AA4:AA75)</f>
        <v>76.926116838487971</v>
      </c>
      <c r="AB79" s="651"/>
      <c r="AC79" s="541">
        <f>SUBTOTAL(9,AC4:AC75)</f>
        <v>73.871681415929203</v>
      </c>
      <c r="AD79" s="520"/>
      <c r="AE79" s="520"/>
      <c r="AF79" s="651"/>
      <c r="AG79" s="540">
        <f>SUBTOTAL(9,AG4:AG75)</f>
        <v>76.666666666666671</v>
      </c>
      <c r="AH79" s="651"/>
      <c r="AI79" s="540">
        <f>SUBTOTAL(9,AI4:AI75)</f>
        <v>76.201986754966896</v>
      </c>
      <c r="AJ79" s="520"/>
      <c r="AK79" s="520"/>
      <c r="AL79" s="651"/>
      <c r="AM79" s="540">
        <f>SUBTOTAL(9,AM4:AM75)</f>
        <v>85.478260869565219</v>
      </c>
      <c r="AN79" s="651"/>
      <c r="AO79" s="541">
        <f>SUBTOTAL(9,AO4:AO75)</f>
        <v>74.009090909090901</v>
      </c>
      <c r="AP79" s="520"/>
      <c r="AQ79" s="520"/>
      <c r="AR79" s="651"/>
      <c r="AS79" s="540">
        <f>SUBTOTAL(9,AS4:AS75)</f>
        <v>74.789915966386559</v>
      </c>
      <c r="AT79" s="651"/>
      <c r="AU79" s="540">
        <f>SUBTOTAL(9,AU4:AU75)</f>
        <v>74.92307692307692</v>
      </c>
      <c r="AV79" s="520"/>
      <c r="AW79" s="520"/>
      <c r="AX79" s="651"/>
      <c r="AY79" s="540">
        <f>SUBTOTAL(9,AY4:AY75)</f>
        <v>74.52459016393442</v>
      </c>
      <c r="AZ79" s="651"/>
      <c r="BA79" s="541">
        <f>SUBTOTAL(9,BA4:BA75)</f>
        <v>71.353932584269671</v>
      </c>
      <c r="BB79" s="520"/>
      <c r="BC79" s="520"/>
      <c r="BD79" s="520"/>
      <c r="BE79" s="540">
        <f>SUBTOTAL(9,BE4:BE75)</f>
        <v>86.882608695652181</v>
      </c>
      <c r="BF79" s="651"/>
      <c r="BG79" s="540">
        <f>SUBTOTAL(9,BG4:BG75)</f>
        <v>82.924778761061944</v>
      </c>
      <c r="BH79" s="520"/>
      <c r="BI79" s="520"/>
      <c r="BJ79" s="520"/>
      <c r="BK79" s="540">
        <f>SUBTOTAL(9,BK4:BK75)</f>
        <v>76.085365853658544</v>
      </c>
      <c r="BL79" s="651"/>
      <c r="BM79" s="541">
        <f>SUBTOTAL(9,BM4:BM75)</f>
        <v>76.026785714285722</v>
      </c>
      <c r="BN79" s="520"/>
      <c r="BO79" s="520"/>
      <c r="BP79" s="520"/>
      <c r="BQ79" s="540">
        <f>SUBTOTAL(9,BQ4:BQ75)</f>
        <v>81.628205128205124</v>
      </c>
      <c r="BR79" s="520"/>
      <c r="BS79" s="540">
        <f>SUBTOTAL(9,BS4:BS75)</f>
        <v>81.439759036144579</v>
      </c>
      <c r="BT79" s="520"/>
      <c r="BU79" s="520"/>
      <c r="BV79" s="520"/>
      <c r="BW79" s="541">
        <f>SUBTOTAL(9,BW4:BW75)</f>
        <v>74.274193548387103</v>
      </c>
      <c r="BX79" s="520"/>
      <c r="BY79" s="541">
        <f>SUBTOTAL(9,BY4:BY75)</f>
        <v>76.441176470588232</v>
      </c>
      <c r="BZ79" s="520"/>
      <c r="CA79" s="315"/>
      <c r="CB79" s="353"/>
      <c r="CC79" s="313"/>
      <c r="CD79" s="526"/>
      <c r="CE79" s="526"/>
      <c r="CF79" s="527"/>
      <c r="CG79" s="526"/>
      <c r="CH79" s="527"/>
      <c r="CI79" s="526"/>
      <c r="CJ79" s="527"/>
      <c r="CK79" s="526"/>
      <c r="CL79" s="527"/>
      <c r="CM79" s="526"/>
      <c r="CN79" s="527"/>
      <c r="CO79" s="526"/>
      <c r="CP79" s="527"/>
      <c r="CQ79" s="526"/>
      <c r="CR79" s="527"/>
      <c r="CS79" s="526"/>
      <c r="CT79" s="313"/>
      <c r="CU79" s="313"/>
      <c r="CV79" s="313"/>
      <c r="CW79" s="313"/>
      <c r="CX79" s="313"/>
      <c r="CY79" s="313"/>
      <c r="CZ79" s="313"/>
      <c r="DA79" s="313"/>
      <c r="DB79" s="313"/>
      <c r="DC79" s="313"/>
    </row>
    <row r="80" spans="1:107" s="432" customFormat="1" ht="14.25">
      <c r="A80" s="427"/>
      <c r="B80" s="427"/>
      <c r="C80" s="425"/>
      <c r="D80" s="545" t="s">
        <v>1846</v>
      </c>
      <c r="E80" s="427"/>
      <c r="F80" s="428"/>
      <c r="G80" s="428"/>
      <c r="H80" s="426"/>
      <c r="I80" s="429"/>
      <c r="J80" s="426"/>
      <c r="K80" s="665"/>
      <c r="L80" s="426"/>
      <c r="M80" s="429"/>
      <c r="N80" s="429"/>
      <c r="O80" s="539">
        <f t="shared" si="86"/>
        <v>74.482863220577769</v>
      </c>
      <c r="P80" s="539"/>
      <c r="Q80" s="539"/>
      <c r="R80" s="539"/>
      <c r="S80" s="313"/>
      <c r="T80" s="651"/>
      <c r="U80" s="536">
        <f>U79-U81</f>
        <v>79.166666666666671</v>
      </c>
      <c r="V80" s="651"/>
      <c r="W80" s="536">
        <f>W79-W81</f>
        <v>77.63636363636364</v>
      </c>
      <c r="X80" s="520"/>
      <c r="Y80" s="520"/>
      <c r="Z80" s="651"/>
      <c r="AA80" s="536">
        <f t="shared" ref="AA80:BY80" si="87">AA79-AA81</f>
        <v>76.926116838487971</v>
      </c>
      <c r="AB80" s="651"/>
      <c r="AC80" s="536">
        <f>AC79-AC81</f>
        <v>73.871681415929203</v>
      </c>
      <c r="AD80" s="520"/>
      <c r="AE80" s="520"/>
      <c r="AF80" s="651"/>
      <c r="AG80" s="536">
        <f t="shared" si="87"/>
        <v>76.666666666666671</v>
      </c>
      <c r="AH80" s="651"/>
      <c r="AI80" s="536">
        <f t="shared" si="87"/>
        <v>76.201986754966896</v>
      </c>
      <c r="AJ80" s="520"/>
      <c r="AK80" s="520"/>
      <c r="AL80" s="651"/>
      <c r="AM80" s="536">
        <f t="shared" si="87"/>
        <v>75.478260869565219</v>
      </c>
      <c r="AN80" s="651"/>
      <c r="AO80" s="536">
        <f t="shared" si="87"/>
        <v>74.009090909090901</v>
      </c>
      <c r="AP80" s="520"/>
      <c r="AQ80" s="520"/>
      <c r="AR80" s="651"/>
      <c r="AS80" s="536">
        <f t="shared" si="87"/>
        <v>74.789915966386559</v>
      </c>
      <c r="AT80" s="651"/>
      <c r="AU80" s="536">
        <f t="shared" si="87"/>
        <v>74.92307692307692</v>
      </c>
      <c r="AV80" s="520"/>
      <c r="AW80" s="520"/>
      <c r="AX80" s="651"/>
      <c r="AY80" s="536">
        <f t="shared" si="87"/>
        <v>74.52459016393442</v>
      </c>
      <c r="AZ80" s="651"/>
      <c r="BA80" s="536">
        <f t="shared" si="87"/>
        <v>71.353932584269671</v>
      </c>
      <c r="BB80" s="520"/>
      <c r="BC80" s="520"/>
      <c r="BD80" s="520"/>
      <c r="BE80" s="536">
        <f t="shared" si="87"/>
        <v>76.882608695652181</v>
      </c>
      <c r="BF80" s="651"/>
      <c r="BG80" s="536">
        <f t="shared" si="87"/>
        <v>72.924778761061944</v>
      </c>
      <c r="BH80" s="520"/>
      <c r="BI80" s="520"/>
      <c r="BJ80" s="520"/>
      <c r="BK80" s="536">
        <f t="shared" si="87"/>
        <v>76.085365853658544</v>
      </c>
      <c r="BL80" s="651"/>
      <c r="BM80" s="536">
        <f t="shared" si="87"/>
        <v>76.026785714285722</v>
      </c>
      <c r="BN80" s="520"/>
      <c r="BO80" s="520"/>
      <c r="BP80" s="520"/>
      <c r="BQ80" s="536">
        <f t="shared" si="87"/>
        <v>71.628205128205124</v>
      </c>
      <c r="BR80" s="520"/>
      <c r="BS80" s="536">
        <f t="shared" si="87"/>
        <v>71.439759036144579</v>
      </c>
      <c r="BT80" s="520"/>
      <c r="BU80" s="520"/>
      <c r="BV80" s="520"/>
      <c r="BW80" s="536">
        <f t="shared" si="87"/>
        <v>74.274193548387103</v>
      </c>
      <c r="BX80" s="520"/>
      <c r="BY80" s="536">
        <f t="shared" si="87"/>
        <v>76.441176470588232</v>
      </c>
      <c r="BZ80" s="520"/>
      <c r="CA80" s="431"/>
      <c r="CB80" s="431"/>
      <c r="CC80" s="429"/>
      <c r="CD80" s="526"/>
      <c r="CE80" s="528"/>
      <c r="CF80" s="529"/>
      <c r="CG80" s="528"/>
      <c r="CH80" s="529"/>
      <c r="CI80" s="528"/>
      <c r="CJ80" s="529"/>
      <c r="CK80" s="528"/>
      <c r="CL80" s="529"/>
      <c r="CM80" s="528"/>
      <c r="CN80" s="529"/>
      <c r="CO80" s="528"/>
      <c r="CP80" s="529"/>
      <c r="CQ80" s="528"/>
      <c r="CR80" s="529"/>
      <c r="CS80" s="526"/>
      <c r="CT80" s="429"/>
      <c r="CU80" s="429"/>
      <c r="CV80" s="429"/>
      <c r="CW80" s="429"/>
      <c r="CX80" s="429"/>
      <c r="CY80" s="429"/>
      <c r="CZ80" s="429"/>
      <c r="DA80" s="429"/>
      <c r="DB80" s="429"/>
      <c r="DC80" s="429"/>
    </row>
    <row r="81" spans="1:107" s="2" customFormat="1" ht="14.25">
      <c r="A81" s="347"/>
      <c r="B81" s="347"/>
      <c r="C81" s="268"/>
      <c r="D81" s="545" t="s">
        <v>1847</v>
      </c>
      <c r="E81" s="347"/>
      <c r="F81" s="349"/>
      <c r="G81" s="349"/>
      <c r="H81" s="348"/>
      <c r="I81" s="347"/>
      <c r="J81" s="348"/>
      <c r="K81" s="349"/>
      <c r="L81" s="348"/>
      <c r="M81" s="347"/>
      <c r="N81" s="347"/>
      <c r="O81" s="845">
        <f t="shared" si="86"/>
        <v>2</v>
      </c>
      <c r="P81" s="538">
        <f t="shared" ref="P81:P83" si="88">O81*0.7</f>
        <v>1.4</v>
      </c>
      <c r="Q81" s="538">
        <f t="shared" ref="Q81:Q83" si="89">P81/9</f>
        <v>0.15555555555555556</v>
      </c>
      <c r="R81" s="538">
        <f t="shared" ref="R81:R83" si="90">Q81/2</f>
        <v>7.7777777777777779E-2</v>
      </c>
      <c r="S81" s="324"/>
      <c r="T81" s="651"/>
      <c r="U81" s="536">
        <f>IF(U73=10, 10, 0)</f>
        <v>0</v>
      </c>
      <c r="V81" s="651"/>
      <c r="W81" s="536">
        <f>IF(W73=10, 10, 0)</f>
        <v>0</v>
      </c>
      <c r="X81" s="520"/>
      <c r="Y81" s="520"/>
      <c r="Z81" s="651"/>
      <c r="AA81" s="536">
        <f>IF(AA73=10, 10, 0)</f>
        <v>0</v>
      </c>
      <c r="AB81" s="651"/>
      <c r="AC81" s="536">
        <f>IF(AC73=10, 10, 0)</f>
        <v>0</v>
      </c>
      <c r="AD81" s="520"/>
      <c r="AE81" s="520"/>
      <c r="AF81" s="651"/>
      <c r="AG81" s="536">
        <f>IF(AG73=10, 10, 0)</f>
        <v>0</v>
      </c>
      <c r="AH81" s="651"/>
      <c r="AI81" s="536">
        <f>IF(AI73=10, 10, 0)</f>
        <v>0</v>
      </c>
      <c r="AJ81" s="520"/>
      <c r="AK81" s="520"/>
      <c r="AL81" s="651"/>
      <c r="AM81" s="536">
        <f>IF(AM73=10, 10, 0)</f>
        <v>10</v>
      </c>
      <c r="AN81" s="651"/>
      <c r="AO81" s="536">
        <f>IF(AO73=10, 10, 0)</f>
        <v>0</v>
      </c>
      <c r="AP81" s="520"/>
      <c r="AQ81" s="520"/>
      <c r="AR81" s="651"/>
      <c r="AS81" s="536">
        <f>IF(AS73=10, 10, 0)</f>
        <v>0</v>
      </c>
      <c r="AT81" s="651"/>
      <c r="AU81" s="536">
        <f>IF(AU73=10, 10, 0)</f>
        <v>0</v>
      </c>
      <c r="AV81" s="520"/>
      <c r="AW81" s="520"/>
      <c r="AX81" s="651"/>
      <c r="AY81" s="536">
        <f>IF(AY73=10, 10, 0)</f>
        <v>0</v>
      </c>
      <c r="AZ81" s="651"/>
      <c r="BA81" s="536">
        <f>IF(BA73=10, 10, 0)</f>
        <v>0</v>
      </c>
      <c r="BB81" s="520"/>
      <c r="BC81" s="520"/>
      <c r="BD81" s="520"/>
      <c r="BE81" s="536">
        <f>IF(BE73=10, 10, 0)</f>
        <v>10</v>
      </c>
      <c r="BF81" s="651"/>
      <c r="BG81" s="536">
        <f>IF(BG73=10, 10, 0)</f>
        <v>10</v>
      </c>
      <c r="BH81" s="520"/>
      <c r="BI81" s="520"/>
      <c r="BJ81" s="520"/>
      <c r="BK81" s="536">
        <f>IF(BK73=10, 10, 0)</f>
        <v>0</v>
      </c>
      <c r="BL81" s="651"/>
      <c r="BM81" s="536">
        <f>IF(BM73=10, 10, 0)</f>
        <v>0</v>
      </c>
      <c r="BN81" s="520"/>
      <c r="BO81" s="520"/>
      <c r="BP81" s="520"/>
      <c r="BQ81" s="536">
        <f>IF(BQ73=10, 10, 0)</f>
        <v>10</v>
      </c>
      <c r="BR81" s="520"/>
      <c r="BS81" s="536">
        <f>IF(BS73=10, 10, 0)</f>
        <v>10</v>
      </c>
      <c r="BT81" s="520"/>
      <c r="BU81" s="520"/>
      <c r="BV81" s="520"/>
      <c r="BW81" s="536">
        <f>IF(BW73=10, 10, 0)</f>
        <v>0</v>
      </c>
      <c r="BX81" s="520"/>
      <c r="BY81" s="536">
        <f>IF(BY73=10, 10, 0)</f>
        <v>0</v>
      </c>
      <c r="BZ81" s="520"/>
      <c r="CA81" s="315"/>
      <c r="CB81" s="353"/>
      <c r="CC81" s="313"/>
      <c r="CD81" s="526"/>
      <c r="CE81" s="526"/>
      <c r="CF81" s="527"/>
      <c r="CG81" s="526"/>
      <c r="CH81" s="527"/>
      <c r="CI81" s="526"/>
      <c r="CJ81" s="527"/>
      <c r="CK81" s="526"/>
      <c r="CL81" s="527"/>
      <c r="CM81" s="526"/>
      <c r="CN81" s="527"/>
      <c r="CO81" s="526"/>
      <c r="CP81" s="527"/>
      <c r="CQ81" s="526"/>
      <c r="CR81" s="527"/>
      <c r="CS81" s="526"/>
      <c r="CT81" s="313"/>
      <c r="CU81" s="313"/>
      <c r="CV81" s="313"/>
      <c r="CW81" s="313"/>
      <c r="CX81" s="313"/>
      <c r="CY81" s="313"/>
      <c r="CZ81" s="313"/>
      <c r="DA81" s="313"/>
      <c r="DB81" s="313"/>
      <c r="DC81" s="313"/>
    </row>
    <row r="82" spans="1:107" s="135" customFormat="1" ht="14.25">
      <c r="A82" s="352"/>
      <c r="B82" s="352"/>
      <c r="C82" s="419"/>
      <c r="D82" s="545" t="s">
        <v>1848</v>
      </c>
      <c r="E82" s="352"/>
      <c r="F82" s="369"/>
      <c r="G82" s="369"/>
      <c r="H82" s="420"/>
      <c r="I82" s="352"/>
      <c r="J82" s="420"/>
      <c r="K82" s="369"/>
      <c r="L82" s="420"/>
      <c r="M82" s="352"/>
      <c r="N82" s="352"/>
      <c r="O82" s="845">
        <f t="shared" si="86"/>
        <v>8</v>
      </c>
      <c r="P82" s="538">
        <f t="shared" si="88"/>
        <v>5.6</v>
      </c>
      <c r="Q82" s="538">
        <f t="shared" si="89"/>
        <v>0.62222222222222223</v>
      </c>
      <c r="R82" s="538">
        <f t="shared" si="90"/>
        <v>0.31111111111111112</v>
      </c>
      <c r="S82" s="313"/>
      <c r="T82" s="651"/>
      <c r="U82" s="542">
        <f>10-U81</f>
        <v>10</v>
      </c>
      <c r="V82" s="651"/>
      <c r="W82" s="542">
        <f>10-W81</f>
        <v>10</v>
      </c>
      <c r="X82" s="520"/>
      <c r="Y82" s="520"/>
      <c r="Z82" s="651"/>
      <c r="AA82" s="542">
        <f>10-AA81</f>
        <v>10</v>
      </c>
      <c r="AB82" s="651"/>
      <c r="AC82" s="542">
        <f>10-AC81</f>
        <v>10</v>
      </c>
      <c r="AD82" s="520"/>
      <c r="AE82" s="520"/>
      <c r="AF82" s="651"/>
      <c r="AG82" s="542">
        <f>10-AG81</f>
        <v>10</v>
      </c>
      <c r="AH82" s="651"/>
      <c r="AI82" s="542">
        <f>10-AI81</f>
        <v>10</v>
      </c>
      <c r="AJ82" s="520"/>
      <c r="AK82" s="520"/>
      <c r="AL82" s="651"/>
      <c r="AM82" s="542">
        <f>10-AM81</f>
        <v>0</v>
      </c>
      <c r="AN82" s="651"/>
      <c r="AO82" s="542">
        <f>10-AO81</f>
        <v>10</v>
      </c>
      <c r="AP82" s="520"/>
      <c r="AQ82" s="520"/>
      <c r="AR82" s="651"/>
      <c r="AS82" s="542">
        <f>10-AS81</f>
        <v>10</v>
      </c>
      <c r="AT82" s="651"/>
      <c r="AU82" s="542">
        <f>10-AU81</f>
        <v>10</v>
      </c>
      <c r="AV82" s="520"/>
      <c r="AW82" s="520"/>
      <c r="AX82" s="651"/>
      <c r="AY82" s="542">
        <f>10-AY81</f>
        <v>10</v>
      </c>
      <c r="AZ82" s="651"/>
      <c r="BA82" s="542">
        <f>10-BA81</f>
        <v>10</v>
      </c>
      <c r="BB82" s="520"/>
      <c r="BC82" s="520"/>
      <c r="BD82" s="520"/>
      <c r="BE82" s="542">
        <f>10-BE81</f>
        <v>0</v>
      </c>
      <c r="BF82" s="651"/>
      <c r="BG82" s="542">
        <f>10-BG81</f>
        <v>0</v>
      </c>
      <c r="BH82" s="520"/>
      <c r="BI82" s="520"/>
      <c r="BJ82" s="520"/>
      <c r="BK82" s="542">
        <f>10-BK81</f>
        <v>10</v>
      </c>
      <c r="BL82" s="651"/>
      <c r="BM82" s="542">
        <f>10-BM81</f>
        <v>10</v>
      </c>
      <c r="BN82" s="520"/>
      <c r="BO82" s="520"/>
      <c r="BP82" s="520"/>
      <c r="BQ82" s="542">
        <f>10-BQ81</f>
        <v>0</v>
      </c>
      <c r="BR82" s="520"/>
      <c r="BS82" s="542">
        <f>10-BS81</f>
        <v>0</v>
      </c>
      <c r="BT82" s="520"/>
      <c r="BU82" s="520"/>
      <c r="BV82" s="520"/>
      <c r="BW82" s="542">
        <f>10-BW81</f>
        <v>10</v>
      </c>
      <c r="BX82" s="520"/>
      <c r="BY82" s="542">
        <f>10-BY81</f>
        <v>10</v>
      </c>
      <c r="BZ82" s="520"/>
      <c r="CA82" s="353"/>
      <c r="CB82" s="353"/>
      <c r="CC82" s="324"/>
      <c r="CD82" s="526"/>
      <c r="CE82" s="530"/>
      <c r="CF82" s="333"/>
      <c r="CG82" s="530"/>
      <c r="CH82" s="333"/>
      <c r="CI82" s="530"/>
      <c r="CJ82" s="333"/>
      <c r="CK82" s="530"/>
      <c r="CL82" s="333"/>
      <c r="CM82" s="530"/>
      <c r="CN82" s="333"/>
      <c r="CO82" s="530"/>
      <c r="CP82" s="333"/>
      <c r="CQ82" s="530"/>
      <c r="CR82" s="333"/>
      <c r="CS82" s="526"/>
      <c r="CT82" s="324"/>
      <c r="CU82" s="324"/>
      <c r="CV82" s="324"/>
      <c r="CW82" s="324"/>
      <c r="CX82" s="324"/>
      <c r="CY82" s="324"/>
      <c r="CZ82" s="324"/>
      <c r="DA82" s="324"/>
      <c r="DB82" s="324"/>
      <c r="DC82" s="324"/>
    </row>
    <row r="83" spans="1:107" s="2" customFormat="1" ht="14.25">
      <c r="A83" s="347"/>
      <c r="B83" s="347"/>
      <c r="C83" s="268"/>
      <c r="D83" s="545" t="s">
        <v>1849</v>
      </c>
      <c r="E83" s="347"/>
      <c r="F83" s="349"/>
      <c r="G83" s="349"/>
      <c r="H83" s="348"/>
      <c r="I83" s="820">
        <v>10</v>
      </c>
      <c r="J83" s="348"/>
      <c r="K83" s="349"/>
      <c r="L83" s="348"/>
      <c r="M83" s="347"/>
      <c r="N83" s="347"/>
      <c r="O83" s="845">
        <f t="shared" si="86"/>
        <v>10</v>
      </c>
      <c r="P83" s="538">
        <f t="shared" si="88"/>
        <v>7</v>
      </c>
      <c r="Q83" s="538">
        <f t="shared" si="89"/>
        <v>0.77777777777777779</v>
      </c>
      <c r="R83" s="538">
        <f t="shared" si="90"/>
        <v>0.3888888888888889</v>
      </c>
      <c r="S83" s="313"/>
      <c r="T83" s="651"/>
      <c r="U83" s="536">
        <v>10</v>
      </c>
      <c r="V83" s="651"/>
      <c r="W83" s="536">
        <v>10</v>
      </c>
      <c r="X83" s="520"/>
      <c r="Y83" s="520"/>
      <c r="Z83" s="651"/>
      <c r="AA83" s="536">
        <v>10</v>
      </c>
      <c r="AB83" s="651"/>
      <c r="AC83" s="542">
        <v>10</v>
      </c>
      <c r="AD83" s="520"/>
      <c r="AE83" s="520"/>
      <c r="AF83" s="651"/>
      <c r="AG83" s="536">
        <v>10</v>
      </c>
      <c r="AH83" s="651"/>
      <c r="AI83" s="536">
        <v>10</v>
      </c>
      <c r="AJ83" s="520"/>
      <c r="AK83" s="520"/>
      <c r="AL83" s="651"/>
      <c r="AM83" s="536">
        <v>10</v>
      </c>
      <c r="AN83" s="651"/>
      <c r="AO83" s="542">
        <v>10</v>
      </c>
      <c r="AP83" s="520"/>
      <c r="AQ83" s="520"/>
      <c r="AR83" s="651"/>
      <c r="AS83" s="536">
        <v>10</v>
      </c>
      <c r="AT83" s="651"/>
      <c r="AU83" s="536">
        <v>10</v>
      </c>
      <c r="AV83" s="520"/>
      <c r="AW83" s="520"/>
      <c r="AX83" s="651"/>
      <c r="AY83" s="536">
        <v>10</v>
      </c>
      <c r="AZ83" s="651"/>
      <c r="BA83" s="542">
        <v>10</v>
      </c>
      <c r="BB83" s="520"/>
      <c r="BC83" s="520"/>
      <c r="BD83" s="520"/>
      <c r="BE83" s="536">
        <v>10</v>
      </c>
      <c r="BF83" s="651"/>
      <c r="BG83" s="536">
        <v>10</v>
      </c>
      <c r="BH83" s="520"/>
      <c r="BI83" s="520"/>
      <c r="BJ83" s="520"/>
      <c r="BK83" s="536">
        <v>10</v>
      </c>
      <c r="BL83" s="651"/>
      <c r="BM83" s="542">
        <v>10</v>
      </c>
      <c r="BN83" s="520"/>
      <c r="BO83" s="520"/>
      <c r="BP83" s="520"/>
      <c r="BQ83" s="536">
        <v>10</v>
      </c>
      <c r="BR83" s="520"/>
      <c r="BS83" s="536">
        <v>10</v>
      </c>
      <c r="BT83" s="520"/>
      <c r="BU83" s="520"/>
      <c r="BV83" s="520"/>
      <c r="BW83" s="542">
        <v>10</v>
      </c>
      <c r="BX83" s="520"/>
      <c r="BY83" s="542">
        <v>10</v>
      </c>
      <c r="BZ83" s="520"/>
      <c r="CA83" s="315"/>
      <c r="CB83" s="353"/>
      <c r="CC83" s="313"/>
      <c r="CD83" s="526"/>
      <c r="CE83" s="526"/>
      <c r="CF83" s="527"/>
      <c r="CG83" s="526"/>
      <c r="CH83" s="527"/>
      <c r="CI83" s="526"/>
      <c r="CJ83" s="527"/>
      <c r="CK83" s="526"/>
      <c r="CL83" s="527"/>
      <c r="CM83" s="526"/>
      <c r="CN83" s="527"/>
      <c r="CO83" s="526"/>
      <c r="CP83" s="527"/>
      <c r="CQ83" s="526"/>
      <c r="CR83" s="527"/>
      <c r="CS83" s="526"/>
      <c r="CT83" s="313"/>
      <c r="CU83" s="313"/>
      <c r="CV83" s="313"/>
      <c r="CW83" s="313"/>
      <c r="CX83" s="313"/>
      <c r="CY83" s="313"/>
      <c r="CZ83" s="313"/>
      <c r="DA83" s="313"/>
      <c r="DB83" s="313"/>
      <c r="DC83" s="313"/>
    </row>
    <row r="84" spans="1:107" s="2" customFormat="1" ht="14.25">
      <c r="A84" s="347"/>
      <c r="B84" s="347"/>
      <c r="C84" s="268"/>
      <c r="D84" s="545" t="s">
        <v>1850</v>
      </c>
      <c r="E84" s="347"/>
      <c r="F84" s="349"/>
      <c r="G84" s="349"/>
      <c r="H84" s="348"/>
      <c r="I84" s="347"/>
      <c r="J84" s="348"/>
      <c r="K84" s="349"/>
      <c r="L84" s="348"/>
      <c r="M84" s="347"/>
      <c r="N84" s="347"/>
      <c r="O84" s="539">
        <f t="shared" si="86"/>
        <v>5.5171367794222288</v>
      </c>
      <c r="P84" s="538"/>
      <c r="Q84" s="538"/>
      <c r="R84" s="538"/>
      <c r="S84" s="313"/>
      <c r="T84" s="651"/>
      <c r="U84" s="536">
        <f>100-SUM(U80:U83)</f>
        <v>0.8333333333333286</v>
      </c>
      <c r="V84" s="651"/>
      <c r="W84" s="536">
        <f>100-SUM(W80:W83)</f>
        <v>2.3636363636363598</v>
      </c>
      <c r="X84" s="520"/>
      <c r="Y84" s="520"/>
      <c r="Z84" s="651"/>
      <c r="AA84" s="536">
        <f>100-SUM(AA80:AA83)</f>
        <v>3.073883161512029</v>
      </c>
      <c r="AB84" s="651"/>
      <c r="AC84" s="542">
        <f>100-SUM(AC80:AC83)</f>
        <v>6.1283185840707972</v>
      </c>
      <c r="AD84" s="520"/>
      <c r="AE84" s="520"/>
      <c r="AF84" s="651"/>
      <c r="AG84" s="536">
        <f>100-SUM(AG80:AG83)</f>
        <v>3.3333333333333286</v>
      </c>
      <c r="AH84" s="651"/>
      <c r="AI84" s="536">
        <f>100-SUM(AI80:AI83)</f>
        <v>3.7980132450331041</v>
      </c>
      <c r="AJ84" s="520"/>
      <c r="AK84" s="520"/>
      <c r="AL84" s="651"/>
      <c r="AM84" s="536">
        <f>100-SUM(AM80:AM83)</f>
        <v>4.5217391304347814</v>
      </c>
      <c r="AN84" s="651"/>
      <c r="AO84" s="542">
        <f>100-SUM(AO80:AO83)</f>
        <v>5.9909090909090992</v>
      </c>
      <c r="AP84" s="520"/>
      <c r="AQ84" s="520"/>
      <c r="AR84" s="651"/>
      <c r="AS84" s="536">
        <f>100-SUM(AS80:AS83)</f>
        <v>5.2100840336134411</v>
      </c>
      <c r="AT84" s="651"/>
      <c r="AU84" s="536">
        <f>100-SUM(AU80:AU83)</f>
        <v>5.0769230769230802</v>
      </c>
      <c r="AV84" s="520"/>
      <c r="AW84" s="520"/>
      <c r="AX84" s="651"/>
      <c r="AY84" s="536">
        <f>100-SUM(AY80:AY83)</f>
        <v>5.4754098360655803</v>
      </c>
      <c r="AZ84" s="651"/>
      <c r="BA84" s="542">
        <f>100-SUM(BA80:BA83)</f>
        <v>8.6460674157303288</v>
      </c>
      <c r="BB84" s="520"/>
      <c r="BC84" s="520"/>
      <c r="BD84" s="520"/>
      <c r="BE84" s="536">
        <f>100-SUM(BE80:BE83)</f>
        <v>3.1173913043478194</v>
      </c>
      <c r="BF84" s="651"/>
      <c r="BG84" s="536">
        <f>100-SUM(BG80:BG83)</f>
        <v>7.075221238938056</v>
      </c>
      <c r="BH84" s="520"/>
      <c r="BI84" s="520"/>
      <c r="BJ84" s="520"/>
      <c r="BK84" s="536">
        <f>100-SUM(BK80:BK83)</f>
        <v>3.9146341463414558</v>
      </c>
      <c r="BL84" s="651"/>
      <c r="BM84" s="542">
        <f>100-SUM(BM80:BM83)</f>
        <v>3.9732142857142776</v>
      </c>
      <c r="BN84" s="520"/>
      <c r="BO84" s="520"/>
      <c r="BP84" s="520"/>
      <c r="BQ84" s="536">
        <f>100-SUM(BQ80:BQ83)</f>
        <v>8.3717948717948758</v>
      </c>
      <c r="BR84" s="520"/>
      <c r="BS84" s="536">
        <f>100-SUM(BS80:BS83)</f>
        <v>8.5602409638554207</v>
      </c>
      <c r="BT84" s="520"/>
      <c r="BU84" s="520"/>
      <c r="BV84" s="520"/>
      <c r="BW84" s="542">
        <f>100-SUM(BW80:BW83)</f>
        <v>5.7258064516128968</v>
      </c>
      <c r="BX84" s="520"/>
      <c r="BY84" s="542">
        <f>100-SUM(BY80:BY83)</f>
        <v>3.558823529411768</v>
      </c>
      <c r="BZ84" s="520"/>
      <c r="CA84" s="315"/>
      <c r="CB84" s="353"/>
      <c r="CC84" s="313"/>
      <c r="CD84" s="526"/>
      <c r="CE84" s="526"/>
      <c r="CF84" s="527"/>
      <c r="CG84" s="526"/>
      <c r="CH84" s="527"/>
      <c r="CI84" s="526"/>
      <c r="CJ84" s="527"/>
      <c r="CK84" s="526"/>
      <c r="CL84" s="527"/>
      <c r="CM84" s="526"/>
      <c r="CN84" s="527"/>
      <c r="CO84" s="526"/>
      <c r="CP84" s="527"/>
      <c r="CQ84" s="526"/>
      <c r="CR84" s="527"/>
      <c r="CS84" s="526"/>
      <c r="CT84" s="313"/>
      <c r="CU84" s="313"/>
      <c r="CV84" s="313"/>
      <c r="CW84" s="313"/>
      <c r="CX84" s="313"/>
      <c r="CY84" s="313"/>
      <c r="CZ84" s="313"/>
      <c r="DA84" s="313"/>
      <c r="DB84" s="313"/>
      <c r="DC84" s="313"/>
    </row>
    <row r="85" spans="1:107" s="2" customFormat="1">
      <c r="A85" s="347"/>
      <c r="B85" s="347"/>
      <c r="C85" s="268"/>
      <c r="E85" s="347"/>
      <c r="F85" s="349"/>
      <c r="G85" s="349"/>
      <c r="H85" s="348"/>
      <c r="I85" s="347"/>
      <c r="J85" s="348"/>
      <c r="K85" s="349"/>
      <c r="L85" s="348"/>
      <c r="M85" s="347"/>
      <c r="N85" s="347"/>
      <c r="T85" s="7"/>
      <c r="U85" s="83"/>
      <c r="V85" s="7"/>
      <c r="Z85" s="7"/>
      <c r="AB85" s="7"/>
      <c r="AF85" s="7"/>
      <c r="AH85" s="7"/>
      <c r="AL85" s="7"/>
      <c r="AN85" s="7"/>
      <c r="AR85" s="7"/>
      <c r="AT85" s="7"/>
      <c r="AX85" s="7"/>
      <c r="AZ85" s="7"/>
      <c r="BF85" s="7"/>
      <c r="BL85" s="7"/>
      <c r="CA85" s="315"/>
      <c r="CB85" s="353"/>
      <c r="CC85" s="313"/>
      <c r="CD85" s="522"/>
      <c r="CE85" s="526"/>
      <c r="CF85" s="527"/>
      <c r="CG85" s="526"/>
      <c r="CH85" s="527"/>
      <c r="CI85" s="526"/>
      <c r="CJ85" s="527"/>
      <c r="CK85" s="526"/>
      <c r="CL85" s="527"/>
      <c r="CM85" s="526"/>
      <c r="CN85" s="527"/>
      <c r="CO85" s="526"/>
      <c r="CP85" s="527"/>
      <c r="CQ85" s="526"/>
      <c r="CR85" s="527"/>
      <c r="CS85" s="522"/>
      <c r="CT85" s="313"/>
      <c r="CU85" s="313"/>
      <c r="CV85" s="313"/>
      <c r="CW85" s="313"/>
      <c r="CX85" s="313"/>
      <c r="CY85" s="313"/>
      <c r="CZ85" s="313"/>
      <c r="DA85" s="313"/>
      <c r="DB85" s="313"/>
      <c r="DC85" s="313"/>
    </row>
    <row r="86" spans="1:107" s="2" customFormat="1">
      <c r="A86" s="347"/>
      <c r="B86" s="347"/>
      <c r="C86" s="268"/>
      <c r="D86" s="346"/>
      <c r="E86" s="347"/>
      <c r="F86" s="349"/>
      <c r="G86" s="349"/>
      <c r="H86" s="348"/>
      <c r="I86" s="347"/>
      <c r="J86" s="348"/>
      <c r="K86" s="349"/>
      <c r="L86" s="348"/>
      <c r="M86" s="347"/>
      <c r="N86" s="347"/>
      <c r="O86" s="313"/>
      <c r="P86" s="313"/>
      <c r="Q86" s="313"/>
      <c r="R86" s="313"/>
      <c r="S86" s="313"/>
      <c r="T86" s="420"/>
      <c r="U86" s="349"/>
      <c r="V86" s="348"/>
      <c r="W86" s="349"/>
      <c r="X86" s="313"/>
      <c r="Y86" s="313"/>
      <c r="Z86" s="668"/>
      <c r="AA86" s="373"/>
      <c r="AB86" s="667"/>
      <c r="AC86" s="373"/>
      <c r="AD86" s="315"/>
      <c r="AE86" s="315"/>
      <c r="AF86" s="420"/>
      <c r="AG86" s="349"/>
      <c r="AH86" s="348"/>
      <c r="AI86" s="349"/>
      <c r="AJ86" s="313"/>
      <c r="AK86" s="313"/>
      <c r="AL86" s="668"/>
      <c r="AM86" s="373"/>
      <c r="AN86" s="667"/>
      <c r="AO86" s="373"/>
      <c r="AP86" s="315"/>
      <c r="AQ86" s="315"/>
      <c r="AR86" s="420"/>
      <c r="AS86" s="349"/>
      <c r="AT86" s="348"/>
      <c r="AU86" s="349"/>
      <c r="AV86" s="313"/>
      <c r="AW86" s="313"/>
      <c r="AX86" s="668"/>
      <c r="AY86" s="373"/>
      <c r="AZ86" s="667"/>
      <c r="BA86" s="373"/>
      <c r="BB86" s="315"/>
      <c r="BC86" s="315"/>
      <c r="BD86" s="324"/>
      <c r="BE86" s="349"/>
      <c r="BF86" s="348"/>
      <c r="BG86" s="349"/>
      <c r="BH86" s="313"/>
      <c r="BI86" s="313"/>
      <c r="BJ86" s="353"/>
      <c r="BK86" s="373"/>
      <c r="BL86" s="667"/>
      <c r="BM86" s="373"/>
      <c r="BN86" s="315"/>
      <c r="BO86" s="315"/>
      <c r="BP86" s="324"/>
      <c r="BQ86" s="349"/>
      <c r="BR86" s="313"/>
      <c r="BS86" s="349"/>
      <c r="BT86" s="313"/>
      <c r="BU86" s="313"/>
      <c r="BV86" s="353"/>
      <c r="BW86" s="373"/>
      <c r="BX86" s="315"/>
      <c r="BY86" s="373"/>
      <c r="BZ86" s="543"/>
      <c r="CA86" s="315"/>
      <c r="CB86" s="353"/>
      <c r="CC86" s="313"/>
      <c r="CD86" s="522"/>
      <c r="CE86" s="526"/>
      <c r="CF86" s="527"/>
      <c r="CG86" s="526"/>
      <c r="CH86" s="527"/>
      <c r="CI86" s="526"/>
      <c r="CJ86" s="527"/>
      <c r="CK86" s="526"/>
      <c r="CL86" s="527"/>
      <c r="CM86" s="526"/>
      <c r="CN86" s="527"/>
      <c r="CO86" s="526"/>
      <c r="CP86" s="527"/>
      <c r="CQ86" s="526"/>
      <c r="CR86" s="527"/>
      <c r="CS86" s="522"/>
      <c r="CT86" s="313"/>
      <c r="CU86" s="313"/>
      <c r="CV86" s="313"/>
      <c r="CW86" s="313"/>
      <c r="CX86" s="313"/>
      <c r="CY86" s="313"/>
      <c r="CZ86" s="313"/>
      <c r="DA86" s="313"/>
      <c r="DB86" s="313"/>
      <c r="DC86" s="313"/>
    </row>
    <row r="87" spans="1:107" s="2" customFormat="1">
      <c r="A87" s="347"/>
      <c r="B87" s="347"/>
      <c r="C87" s="268"/>
      <c r="D87" s="315"/>
      <c r="E87" s="347"/>
      <c r="F87" s="349"/>
      <c r="G87" s="349"/>
      <c r="H87" s="348"/>
      <c r="I87" s="347"/>
      <c r="J87" s="348"/>
      <c r="K87" s="349"/>
      <c r="L87" s="348"/>
      <c r="M87" s="347"/>
      <c r="N87" s="347"/>
      <c r="O87" s="313"/>
      <c r="P87" s="313"/>
      <c r="Q87" s="313"/>
      <c r="R87" s="313"/>
      <c r="S87" s="313"/>
      <c r="T87" s="348"/>
      <c r="U87" s="349"/>
      <c r="V87" s="348"/>
      <c r="W87" s="349"/>
      <c r="X87" s="313"/>
      <c r="Y87" s="313"/>
      <c r="Z87" s="667"/>
      <c r="AA87" s="373"/>
      <c r="AB87" s="667"/>
      <c r="AC87" s="373"/>
      <c r="AD87" s="315"/>
      <c r="AE87" s="315"/>
      <c r="AF87" s="348"/>
      <c r="AG87" s="349"/>
      <c r="AH87" s="348"/>
      <c r="AI87" s="349"/>
      <c r="AJ87" s="313"/>
      <c r="AK87" s="313"/>
      <c r="AL87" s="667"/>
      <c r="AM87" s="373"/>
      <c r="AN87" s="667"/>
      <c r="AO87" s="373"/>
      <c r="AP87" s="315"/>
      <c r="AQ87" s="315"/>
      <c r="AR87" s="348"/>
      <c r="AS87" s="349"/>
      <c r="AT87" s="348"/>
      <c r="AU87" s="349"/>
      <c r="AV87" s="313"/>
      <c r="AW87" s="313"/>
      <c r="AX87" s="667"/>
      <c r="AY87" s="373"/>
      <c r="AZ87" s="667"/>
      <c r="BA87" s="373"/>
      <c r="BB87" s="315"/>
      <c r="BC87" s="315"/>
      <c r="BD87" s="313"/>
      <c r="BE87" s="349"/>
      <c r="BF87" s="348"/>
      <c r="BG87" s="349"/>
      <c r="BH87" s="313"/>
      <c r="BI87" s="313"/>
      <c r="BJ87" s="315"/>
      <c r="BK87" s="373"/>
      <c r="BL87" s="667"/>
      <c r="BM87" s="373"/>
      <c r="BN87" s="315"/>
      <c r="BO87" s="315"/>
      <c r="BP87" s="313"/>
      <c r="BQ87" s="349"/>
      <c r="BR87" s="313"/>
      <c r="BS87" s="349"/>
      <c r="BT87" s="313"/>
      <c r="BU87" s="313"/>
      <c r="BV87" s="315"/>
      <c r="BW87" s="373"/>
      <c r="BX87" s="315"/>
      <c r="BY87" s="373"/>
      <c r="BZ87" s="543"/>
      <c r="CA87" s="315"/>
      <c r="CB87" s="353"/>
      <c r="CC87" s="313"/>
      <c r="CD87" s="522" t="s">
        <v>1477</v>
      </c>
      <c r="CE87" s="526">
        <f>SUMPRODUCT(CF4:CF75,CE4:CE75)</f>
        <v>39.9</v>
      </c>
      <c r="CF87" s="527"/>
      <c r="CG87" s="526">
        <f>SUMPRODUCT(CH4:CH75,CG4:CG75)</f>
        <v>54.482863220577777</v>
      </c>
      <c r="CH87" s="527"/>
      <c r="CI87" s="526">
        <f>SUMPRODUCT(CJ4:CJ75,CI4:CI75)</f>
        <v>50.2</v>
      </c>
      <c r="CJ87" s="527"/>
      <c r="CK87" s="526">
        <f>SUMPRODUCT(CL4:CL75,CK4:CK75)</f>
        <v>55.024999999999999</v>
      </c>
      <c r="CL87" s="527"/>
      <c r="CM87" s="526">
        <f>SUMPRODUCT(CN4:CN75,CM4:CM75)</f>
        <v>55.65</v>
      </c>
      <c r="CN87" s="527"/>
      <c r="CO87" s="526">
        <f>SUMPRODUCT(CP4:CP75,CO4:CO75)</f>
        <v>53.650000000000006</v>
      </c>
      <c r="CP87" s="527"/>
      <c r="CQ87" s="526">
        <f>SUMPRODUCT(CR4:CR75,CQ4:CQ75)</f>
        <v>3</v>
      </c>
      <c r="CR87" s="527"/>
      <c r="CS87" s="522"/>
      <c r="CT87" s="313"/>
      <c r="CU87" s="313"/>
      <c r="CV87" s="313"/>
      <c r="CW87" s="313"/>
      <c r="CX87" s="313"/>
      <c r="CY87" s="313"/>
      <c r="CZ87" s="313"/>
      <c r="DA87" s="313"/>
      <c r="DB87" s="313"/>
      <c r="DC87" s="313"/>
    </row>
    <row r="88" spans="1:107" s="2" customFormat="1">
      <c r="A88" s="347"/>
      <c r="B88" s="347"/>
      <c r="C88" s="268"/>
      <c r="D88" s="869" t="s">
        <v>1960</v>
      </c>
      <c r="E88" s="347"/>
      <c r="F88" s="349"/>
      <c r="G88" s="349"/>
      <c r="H88" s="348"/>
      <c r="I88" s="347"/>
      <c r="J88" s="348"/>
      <c r="K88" s="349"/>
      <c r="L88" s="348"/>
      <c r="M88" s="347"/>
      <c r="N88" s="347"/>
      <c r="O88" s="313"/>
      <c r="P88" s="313"/>
      <c r="Q88" s="313"/>
      <c r="R88" s="313"/>
      <c r="S88" s="313"/>
      <c r="T88" s="348"/>
      <c r="U88" s="349"/>
      <c r="V88" s="348"/>
      <c r="W88" s="349"/>
      <c r="X88" s="313"/>
      <c r="Y88" s="313"/>
      <c r="Z88" s="667"/>
      <c r="AA88" s="373"/>
      <c r="AB88" s="667"/>
      <c r="AC88" s="373"/>
      <c r="AD88" s="315"/>
      <c r="AE88" s="315"/>
      <c r="AF88" s="348"/>
      <c r="AG88" s="349"/>
      <c r="AH88" s="348"/>
      <c r="AI88" s="349"/>
      <c r="AJ88" s="313"/>
      <c r="AK88" s="313"/>
      <c r="AL88" s="667"/>
      <c r="AM88" s="373"/>
      <c r="AN88" s="667"/>
      <c r="AO88" s="373"/>
      <c r="AP88" s="315"/>
      <c r="AQ88" s="315"/>
      <c r="AR88" s="348"/>
      <c r="AS88" s="349"/>
      <c r="AT88" s="348"/>
      <c r="AU88" s="349"/>
      <c r="AV88" s="313"/>
      <c r="AW88" s="313"/>
      <c r="AX88" s="667"/>
      <c r="AY88" s="373"/>
      <c r="AZ88" s="667"/>
      <c r="BA88" s="373"/>
      <c r="BB88" s="315"/>
      <c r="BC88" s="315"/>
      <c r="BD88" s="313"/>
      <c r="BE88" s="349"/>
      <c r="BF88" s="348"/>
      <c r="BG88" s="349"/>
      <c r="BH88" s="313"/>
      <c r="BI88" s="313"/>
      <c r="BJ88" s="315"/>
      <c r="BK88" s="373"/>
      <c r="BL88" s="667"/>
      <c r="BM88" s="373"/>
      <c r="BN88" s="315"/>
      <c r="BO88" s="315"/>
      <c r="BP88" s="313"/>
      <c r="BQ88" s="349"/>
      <c r="BR88" s="313"/>
      <c r="BS88" s="349"/>
      <c r="BT88" s="313"/>
      <c r="BU88" s="313"/>
      <c r="BV88" s="315"/>
      <c r="BW88" s="373"/>
      <c r="BX88" s="315"/>
      <c r="BY88" s="373"/>
      <c r="BZ88" s="543"/>
      <c r="CA88" s="315"/>
      <c r="CB88" s="353"/>
      <c r="CC88" s="313"/>
      <c r="CD88" s="522" t="s">
        <v>1476</v>
      </c>
      <c r="CE88" s="526">
        <f>SUMPRODUCT($I$4:$I$75,CE4:CE75)</f>
        <v>42</v>
      </c>
      <c r="CF88" s="527"/>
      <c r="CG88" s="526">
        <f>SUMPRODUCT($I$4:$I$75,CG4:CG75)</f>
        <v>63</v>
      </c>
      <c r="CH88" s="527"/>
      <c r="CI88" s="526">
        <f>SUMPRODUCT($I$4:$I$75,CI4:CI75)</f>
        <v>52</v>
      </c>
      <c r="CJ88" s="527"/>
      <c r="CK88" s="526">
        <f>SUMPRODUCT($I$4:$I$75,CK4:CK75)</f>
        <v>62</v>
      </c>
      <c r="CL88" s="527"/>
      <c r="CM88" s="526">
        <f>SUMPRODUCT($I$4:$I$75,CM4:CM75)</f>
        <v>57</v>
      </c>
      <c r="CN88" s="527"/>
      <c r="CO88" s="526">
        <f>SUMPRODUCT($I$4:$I$75,CO4:CO75)</f>
        <v>55</v>
      </c>
      <c r="CP88" s="527"/>
      <c r="CQ88" s="526">
        <f>SUMPRODUCT($I$4:$I$75,CQ4:CQ75)</f>
        <v>3</v>
      </c>
      <c r="CR88" s="527"/>
      <c r="CS88" s="522"/>
      <c r="CT88" s="313"/>
      <c r="CU88" s="313"/>
      <c r="CV88" s="313"/>
      <c r="CW88" s="313"/>
      <c r="CX88" s="313"/>
      <c r="CY88" s="313"/>
      <c r="CZ88" s="313"/>
      <c r="DA88" s="313"/>
      <c r="DB88" s="313"/>
      <c r="DC88" s="313"/>
    </row>
    <row r="89" spans="1:107" s="2" customFormat="1">
      <c r="A89" s="347"/>
      <c r="B89" s="347"/>
      <c r="C89" s="268"/>
      <c r="D89" s="893" t="s">
        <v>2008</v>
      </c>
      <c r="E89" s="347"/>
      <c r="F89" s="349"/>
      <c r="G89" s="349"/>
      <c r="H89" s="348"/>
      <c r="I89" s="347"/>
      <c r="J89" s="348"/>
      <c r="K89" s="349"/>
      <c r="L89" s="348"/>
      <c r="M89" s="347"/>
      <c r="N89" s="347"/>
      <c r="O89" s="313"/>
      <c r="P89" s="313"/>
      <c r="Q89" s="313"/>
      <c r="R89" s="313"/>
      <c r="S89" s="313"/>
      <c r="T89" s="348"/>
      <c r="U89" s="349"/>
      <c r="V89" s="348"/>
      <c r="W89" s="349"/>
      <c r="X89" s="313"/>
      <c r="Y89" s="313"/>
      <c r="Z89" s="667"/>
      <c r="AA89" s="373"/>
      <c r="AB89" s="667"/>
      <c r="AC89" s="373"/>
      <c r="AD89" s="315"/>
      <c r="AE89" s="315"/>
      <c r="AF89" s="348"/>
      <c r="AG89" s="349"/>
      <c r="AH89" s="348"/>
      <c r="AI89" s="349"/>
      <c r="AJ89" s="313"/>
      <c r="AK89" s="313"/>
      <c r="AL89" s="667"/>
      <c r="AM89" s="373"/>
      <c r="AN89" s="667"/>
      <c r="AO89" s="373"/>
      <c r="AP89" s="315"/>
      <c r="AQ89" s="315"/>
      <c r="AR89" s="348"/>
      <c r="AS89" s="349"/>
      <c r="AT89" s="348"/>
      <c r="AU89" s="349"/>
      <c r="AV89" s="313"/>
      <c r="AW89" s="313"/>
      <c r="AX89" s="667"/>
      <c r="AY89" s="373"/>
      <c r="AZ89" s="667"/>
      <c r="BA89" s="373"/>
      <c r="BB89" s="315"/>
      <c r="BC89" s="315"/>
      <c r="BD89" s="313"/>
      <c r="BE89" s="349"/>
      <c r="BF89" s="348"/>
      <c r="BG89" s="349"/>
      <c r="BH89" s="313"/>
      <c r="BI89" s="313"/>
      <c r="BJ89" s="315"/>
      <c r="BK89" s="373"/>
      <c r="BL89" s="667"/>
      <c r="BM89" s="373"/>
      <c r="BN89" s="315"/>
      <c r="BO89" s="315"/>
      <c r="BP89" s="313"/>
      <c r="BQ89" s="349"/>
      <c r="BR89" s="313"/>
      <c r="BS89" s="349"/>
      <c r="BT89" s="313"/>
      <c r="BU89" s="313"/>
      <c r="BV89" s="315"/>
      <c r="BW89" s="373"/>
      <c r="BX89" s="315"/>
      <c r="BY89" s="373"/>
      <c r="BZ89" s="543"/>
      <c r="CA89" s="315"/>
      <c r="CB89" s="353"/>
      <c r="CC89" s="313"/>
      <c r="CD89" s="522"/>
      <c r="CE89" s="526"/>
      <c r="CF89" s="527"/>
      <c r="CG89" s="526"/>
      <c r="CH89" s="527"/>
      <c r="CI89" s="526"/>
      <c r="CJ89" s="527"/>
      <c r="CK89" s="526"/>
      <c r="CL89" s="527"/>
      <c r="CM89" s="526"/>
      <c r="CN89" s="527"/>
      <c r="CO89" s="526"/>
      <c r="CP89" s="527"/>
      <c r="CQ89" s="526"/>
      <c r="CR89" s="527"/>
      <c r="CS89" s="522"/>
      <c r="CT89" s="313"/>
      <c r="CU89" s="313"/>
      <c r="CV89" s="313"/>
      <c r="CW89" s="313"/>
      <c r="CX89" s="313"/>
      <c r="CY89" s="313"/>
      <c r="CZ89" s="313"/>
      <c r="DA89" s="313"/>
      <c r="DB89" s="313"/>
      <c r="DC89" s="313"/>
    </row>
    <row r="90" spans="1:107" s="2" customFormat="1">
      <c r="A90" s="347"/>
      <c r="B90" s="347"/>
      <c r="C90" s="268"/>
      <c r="D90" s="346"/>
      <c r="E90" s="347"/>
      <c r="F90" s="349"/>
      <c r="G90" s="349"/>
      <c r="H90" s="348"/>
      <c r="I90" s="347"/>
      <c r="J90" s="348"/>
      <c r="K90" s="349"/>
      <c r="L90" s="348"/>
      <c r="M90" s="347"/>
      <c r="N90" s="347"/>
      <c r="O90" s="313"/>
      <c r="P90" s="313"/>
      <c r="Q90" s="313"/>
      <c r="R90" s="313"/>
      <c r="S90" s="313"/>
      <c r="T90" s="348"/>
      <c r="U90" s="349"/>
      <c r="V90" s="348"/>
      <c r="W90" s="349"/>
      <c r="X90" s="313"/>
      <c r="Y90" s="313"/>
      <c r="Z90" s="667"/>
      <c r="AA90" s="373"/>
      <c r="AB90" s="667"/>
      <c r="AC90" s="373"/>
      <c r="AD90" s="315"/>
      <c r="AE90" s="315"/>
      <c r="AF90" s="348"/>
      <c r="AG90" s="349"/>
      <c r="AH90" s="348"/>
      <c r="AI90" s="349"/>
      <c r="AJ90" s="313"/>
      <c r="AK90" s="313"/>
      <c r="AL90" s="667"/>
      <c r="AM90" s="373"/>
      <c r="AN90" s="667"/>
      <c r="AO90" s="373"/>
      <c r="AP90" s="315"/>
      <c r="AQ90" s="315"/>
      <c r="AR90" s="348"/>
      <c r="AS90" s="349"/>
      <c r="AT90" s="348"/>
      <c r="AU90" s="349"/>
      <c r="AV90" s="313"/>
      <c r="AW90" s="313"/>
      <c r="AX90" s="667"/>
      <c r="AY90" s="373"/>
      <c r="AZ90" s="667"/>
      <c r="BA90" s="373"/>
      <c r="BB90" s="315"/>
      <c r="BC90" s="315"/>
      <c r="BD90" s="313"/>
      <c r="BE90" s="349"/>
      <c r="BF90" s="348"/>
      <c r="BG90" s="349"/>
      <c r="BH90" s="313"/>
      <c r="BI90" s="313"/>
      <c r="BJ90" s="315"/>
      <c r="BK90" s="373"/>
      <c r="BL90" s="667"/>
      <c r="BM90" s="373"/>
      <c r="BN90" s="315"/>
      <c r="BO90" s="315"/>
      <c r="BP90" s="313"/>
      <c r="BQ90" s="349"/>
      <c r="BR90" s="313"/>
      <c r="BS90" s="349"/>
      <c r="BT90" s="313"/>
      <c r="BU90" s="313"/>
      <c r="BV90" s="315"/>
      <c r="BW90" s="373"/>
      <c r="BX90" s="315"/>
      <c r="BY90" s="373"/>
      <c r="BZ90" s="342"/>
      <c r="CA90" s="315"/>
      <c r="CB90" s="353"/>
      <c r="CC90" s="313"/>
      <c r="CD90" s="522"/>
      <c r="CE90" s="526"/>
      <c r="CF90" s="527"/>
      <c r="CG90" s="526"/>
      <c r="CH90" s="527"/>
      <c r="CI90" s="526"/>
      <c r="CJ90" s="527"/>
      <c r="CK90" s="526"/>
      <c r="CL90" s="527"/>
      <c r="CM90" s="526"/>
      <c r="CN90" s="527"/>
      <c r="CO90" s="526"/>
      <c r="CP90" s="527"/>
      <c r="CQ90" s="526"/>
      <c r="CR90" s="527"/>
      <c r="CS90" s="522"/>
      <c r="CT90" s="313"/>
      <c r="CU90" s="313"/>
      <c r="CV90" s="313"/>
      <c r="CW90" s="313"/>
      <c r="CX90" s="313"/>
      <c r="CY90" s="313"/>
      <c r="CZ90" s="313"/>
      <c r="DA90" s="313"/>
      <c r="DB90" s="313"/>
      <c r="DC90" s="313"/>
    </row>
    <row r="91" spans="1:107" s="2" customFormat="1">
      <c r="A91" s="347"/>
      <c r="B91" s="347"/>
      <c r="C91" s="268"/>
      <c r="D91" s="346"/>
      <c r="E91" s="347"/>
      <c r="F91" s="349"/>
      <c r="G91" s="349"/>
      <c r="H91" s="348"/>
      <c r="I91" s="347"/>
      <c r="J91" s="348"/>
      <c r="K91" s="349"/>
      <c r="L91" s="348"/>
      <c r="M91" s="347"/>
      <c r="N91" s="347"/>
      <c r="O91" s="313"/>
      <c r="P91" s="313"/>
      <c r="Q91" s="313"/>
      <c r="R91" s="313"/>
      <c r="S91" s="313"/>
      <c r="T91" s="348"/>
      <c r="U91" s="349"/>
      <c r="V91" s="348"/>
      <c r="W91" s="349"/>
      <c r="X91" s="313"/>
      <c r="Y91" s="313"/>
      <c r="Z91" s="667"/>
      <c r="AA91" s="373"/>
      <c r="AB91" s="667"/>
      <c r="AC91" s="373"/>
      <c r="AD91" s="315"/>
      <c r="AE91" s="315"/>
      <c r="AF91" s="348"/>
      <c r="AG91" s="349"/>
      <c r="AH91" s="348"/>
      <c r="AI91" s="349"/>
      <c r="AJ91" s="313"/>
      <c r="AK91" s="313"/>
      <c r="AL91" s="667"/>
      <c r="AM91" s="373"/>
      <c r="AN91" s="667"/>
      <c r="AO91" s="373"/>
      <c r="AP91" s="315"/>
      <c r="AQ91" s="315"/>
      <c r="AR91" s="348"/>
      <c r="AS91" s="349"/>
      <c r="AT91" s="348"/>
      <c r="AU91" s="349"/>
      <c r="AV91" s="313"/>
      <c r="AW91" s="313"/>
      <c r="AX91" s="667"/>
      <c r="AY91" s="373"/>
      <c r="AZ91" s="667"/>
      <c r="BA91" s="373"/>
      <c r="BB91" s="315"/>
      <c r="BC91" s="315"/>
      <c r="BD91" s="313"/>
      <c r="BE91" s="349"/>
      <c r="BF91" s="348"/>
      <c r="BG91" s="349"/>
      <c r="BH91" s="313"/>
      <c r="BI91" s="313"/>
      <c r="BJ91" s="315"/>
      <c r="BK91" s="373"/>
      <c r="BL91" s="667"/>
      <c r="BM91" s="373"/>
      <c r="BN91" s="315"/>
      <c r="BO91" s="315"/>
      <c r="BP91" s="313"/>
      <c r="BQ91" s="349"/>
      <c r="BR91" s="313"/>
      <c r="BS91" s="349"/>
      <c r="BT91" s="313"/>
      <c r="BU91" s="313"/>
      <c r="BV91" s="315"/>
      <c r="BW91" s="373"/>
      <c r="BX91" s="315"/>
      <c r="BY91" s="373"/>
      <c r="BZ91" s="342"/>
      <c r="CA91" s="315"/>
      <c r="CB91" s="353"/>
      <c r="CC91" s="313"/>
      <c r="CD91" s="522"/>
      <c r="CE91" s="526"/>
      <c r="CF91" s="527"/>
      <c r="CG91" s="526"/>
      <c r="CH91" s="527"/>
      <c r="CI91" s="526"/>
      <c r="CJ91" s="527"/>
      <c r="CK91" s="526"/>
      <c r="CL91" s="527"/>
      <c r="CM91" s="526"/>
      <c r="CN91" s="527"/>
      <c r="CO91" s="526"/>
      <c r="CP91" s="527"/>
      <c r="CQ91" s="526"/>
      <c r="CR91" s="527"/>
      <c r="CS91" s="522"/>
      <c r="CT91" s="313"/>
      <c r="CU91" s="313"/>
      <c r="CV91" s="313"/>
      <c r="CW91" s="313"/>
      <c r="CX91" s="313"/>
      <c r="CY91" s="313"/>
      <c r="CZ91" s="313"/>
      <c r="DA91" s="313"/>
      <c r="DB91" s="313"/>
      <c r="DC91" s="313"/>
    </row>
    <row r="92" spans="1:107" s="2" customFormat="1">
      <c r="A92" s="347"/>
      <c r="B92" s="347"/>
      <c r="C92" s="268"/>
      <c r="D92" s="346"/>
      <c r="E92" s="347"/>
      <c r="F92" s="349"/>
      <c r="G92" s="349"/>
      <c r="H92" s="348"/>
      <c r="I92" s="347"/>
      <c r="J92" s="348"/>
      <c r="K92" s="349"/>
      <c r="L92" s="348"/>
      <c r="M92" s="347"/>
      <c r="N92" s="347"/>
      <c r="O92" s="313"/>
      <c r="P92" s="313"/>
      <c r="Q92" s="313"/>
      <c r="R92" s="313"/>
      <c r="S92" s="313"/>
      <c r="T92" s="348"/>
      <c r="U92" s="349"/>
      <c r="V92" s="348"/>
      <c r="W92" s="349"/>
      <c r="X92" s="313"/>
      <c r="Y92" s="313"/>
      <c r="Z92" s="667"/>
      <c r="AA92" s="373"/>
      <c r="AB92" s="667"/>
      <c r="AC92" s="373"/>
      <c r="AD92" s="315"/>
      <c r="AE92" s="315"/>
      <c r="AF92" s="348"/>
      <c r="AG92" s="349"/>
      <c r="AH92" s="348"/>
      <c r="AI92" s="349"/>
      <c r="AJ92" s="313"/>
      <c r="AK92" s="313"/>
      <c r="AL92" s="667"/>
      <c r="AM92" s="373"/>
      <c r="AN92" s="667"/>
      <c r="AO92" s="373"/>
      <c r="AP92" s="315"/>
      <c r="AQ92" s="315"/>
      <c r="AR92" s="348"/>
      <c r="AS92" s="349"/>
      <c r="AT92" s="348"/>
      <c r="AU92" s="349"/>
      <c r="AV92" s="313"/>
      <c r="AW92" s="313"/>
      <c r="AX92" s="667"/>
      <c r="AY92" s="373"/>
      <c r="AZ92" s="667"/>
      <c r="BA92" s="373"/>
      <c r="BB92" s="315"/>
      <c r="BC92" s="315"/>
      <c r="BD92" s="313"/>
      <c r="BE92" s="349"/>
      <c r="BF92" s="348"/>
      <c r="BG92" s="349"/>
      <c r="BH92" s="313"/>
      <c r="BI92" s="313"/>
      <c r="BJ92" s="315"/>
      <c r="BK92" s="373"/>
      <c r="BL92" s="667"/>
      <c r="BM92" s="373"/>
      <c r="BN92" s="315"/>
      <c r="BO92" s="315"/>
      <c r="BP92" s="313"/>
      <c r="BQ92" s="349"/>
      <c r="BR92" s="313"/>
      <c r="BS92" s="349"/>
      <c r="BT92" s="313"/>
      <c r="BU92" s="313"/>
      <c r="BV92" s="315"/>
      <c r="BW92" s="373"/>
      <c r="BX92" s="315"/>
      <c r="BY92" s="373"/>
      <c r="BZ92" s="342"/>
      <c r="CA92" s="315"/>
      <c r="CB92" s="353"/>
      <c r="CC92" s="313"/>
      <c r="CD92" s="522"/>
      <c r="CE92" s="526"/>
      <c r="CF92" s="527"/>
      <c r="CG92" s="526"/>
      <c r="CH92" s="527"/>
      <c r="CI92" s="526"/>
      <c r="CJ92" s="527"/>
      <c r="CK92" s="526"/>
      <c r="CL92" s="527"/>
      <c r="CM92" s="526"/>
      <c r="CN92" s="527"/>
      <c r="CO92" s="526"/>
      <c r="CP92" s="527"/>
      <c r="CQ92" s="526"/>
      <c r="CR92" s="527"/>
      <c r="CS92" s="522"/>
      <c r="CT92" s="313"/>
      <c r="CU92" s="313"/>
      <c r="CV92" s="313"/>
      <c r="CW92" s="313"/>
      <c r="CX92" s="313"/>
      <c r="CY92" s="313"/>
      <c r="CZ92" s="313"/>
      <c r="DA92" s="313"/>
      <c r="DB92" s="313"/>
      <c r="DC92" s="313"/>
    </row>
    <row r="93" spans="1:107" s="2" customFormat="1">
      <c r="A93" s="347"/>
      <c r="B93" s="347"/>
      <c r="C93" s="268"/>
      <c r="D93" s="346"/>
      <c r="E93" s="347"/>
      <c r="F93" s="349"/>
      <c r="G93" s="349"/>
      <c r="H93" s="348"/>
      <c r="I93" s="347"/>
      <c r="J93" s="348"/>
      <c r="K93" s="349"/>
      <c r="L93" s="348"/>
      <c r="M93" s="347"/>
      <c r="N93" s="347"/>
      <c r="O93" s="313"/>
      <c r="P93" s="313"/>
      <c r="Q93" s="313"/>
      <c r="R93" s="313"/>
      <c r="S93" s="313"/>
      <c r="T93" s="348"/>
      <c r="U93" s="349"/>
      <c r="V93" s="348"/>
      <c r="W93" s="349"/>
      <c r="X93" s="313"/>
      <c r="Y93" s="313"/>
      <c r="Z93" s="667"/>
      <c r="AA93" s="373"/>
      <c r="AB93" s="667"/>
      <c r="AC93" s="373"/>
      <c r="AD93" s="315"/>
      <c r="AE93" s="315"/>
      <c r="AF93" s="348"/>
      <c r="AG93" s="349"/>
      <c r="AH93" s="348"/>
      <c r="AI93" s="349"/>
      <c r="AJ93" s="313"/>
      <c r="AK93" s="313"/>
      <c r="AL93" s="667"/>
      <c r="AM93" s="373"/>
      <c r="AN93" s="667"/>
      <c r="AO93" s="373"/>
      <c r="AP93" s="315"/>
      <c r="AQ93" s="315"/>
      <c r="AR93" s="348"/>
      <c r="AS93" s="349"/>
      <c r="AT93" s="348"/>
      <c r="AU93" s="349"/>
      <c r="AV93" s="313"/>
      <c r="AW93" s="313"/>
      <c r="AX93" s="667"/>
      <c r="AY93" s="373"/>
      <c r="AZ93" s="667"/>
      <c r="BA93" s="373"/>
      <c r="BB93" s="315"/>
      <c r="BC93" s="315"/>
      <c r="BD93" s="313"/>
      <c r="BE93" s="349"/>
      <c r="BF93" s="348"/>
      <c r="BG93" s="349"/>
      <c r="BH93" s="313"/>
      <c r="BI93" s="313"/>
      <c r="BJ93" s="315"/>
      <c r="BK93" s="373"/>
      <c r="BL93" s="667"/>
      <c r="BM93" s="373"/>
      <c r="BN93" s="315"/>
      <c r="BO93" s="315"/>
      <c r="BP93" s="313"/>
      <c r="BQ93" s="349"/>
      <c r="BR93" s="313"/>
      <c r="BS93" s="349"/>
      <c r="BT93" s="313"/>
      <c r="BU93" s="313"/>
      <c r="BV93" s="315"/>
      <c r="BW93" s="373"/>
      <c r="BX93" s="315"/>
      <c r="BY93" s="373"/>
      <c r="BZ93" s="315"/>
      <c r="CA93" s="315"/>
      <c r="CB93" s="353"/>
      <c r="CC93" s="313"/>
      <c r="CD93" s="522"/>
      <c r="CE93" s="526"/>
      <c r="CF93" s="527"/>
      <c r="CG93" s="526"/>
      <c r="CH93" s="527"/>
      <c r="CI93" s="526"/>
      <c r="CJ93" s="527"/>
      <c r="CK93" s="526"/>
      <c r="CL93" s="527"/>
      <c r="CM93" s="526"/>
      <c r="CN93" s="527"/>
      <c r="CO93" s="526"/>
      <c r="CP93" s="527"/>
      <c r="CQ93" s="526"/>
      <c r="CR93" s="527"/>
      <c r="CS93" s="522"/>
      <c r="CT93" s="313"/>
      <c r="CU93" s="313"/>
      <c r="CV93" s="313"/>
      <c r="CW93" s="313"/>
      <c r="CX93" s="313"/>
      <c r="CY93" s="313"/>
      <c r="CZ93" s="313"/>
      <c r="DA93" s="313"/>
      <c r="DB93" s="313"/>
      <c r="DC93" s="313"/>
    </row>
    <row r="94" spans="1:107" s="2" customFormat="1">
      <c r="A94" s="347"/>
      <c r="B94" s="347"/>
      <c r="C94" s="268"/>
      <c r="D94" s="346"/>
      <c r="E94" s="347"/>
      <c r="F94" s="349"/>
      <c r="G94" s="349"/>
      <c r="H94" s="348"/>
      <c r="I94" s="347"/>
      <c r="J94" s="348"/>
      <c r="K94" s="349"/>
      <c r="L94" s="348"/>
      <c r="M94" s="347"/>
      <c r="N94" s="347"/>
      <c r="O94" s="313"/>
      <c r="P94" s="313"/>
      <c r="Q94" s="313"/>
      <c r="R94" s="313"/>
      <c r="S94" s="313"/>
      <c r="T94" s="348"/>
      <c r="U94" s="349"/>
      <c r="V94" s="348"/>
      <c r="W94" s="349"/>
      <c r="X94" s="313"/>
      <c r="Y94" s="313"/>
      <c r="Z94" s="667"/>
      <c r="AA94" s="373"/>
      <c r="AB94" s="667"/>
      <c r="AC94" s="373"/>
      <c r="AD94" s="315"/>
      <c r="AE94" s="315"/>
      <c r="AF94" s="348"/>
      <c r="AG94" s="349"/>
      <c r="AH94" s="348"/>
      <c r="AI94" s="349"/>
      <c r="AJ94" s="313"/>
      <c r="AK94" s="313"/>
      <c r="AL94" s="667"/>
      <c r="AM94" s="373"/>
      <c r="AN94" s="667"/>
      <c r="AO94" s="373"/>
      <c r="AP94" s="315"/>
      <c r="AQ94" s="315"/>
      <c r="AR94" s="348"/>
      <c r="AS94" s="349"/>
      <c r="AT94" s="348"/>
      <c r="AU94" s="349"/>
      <c r="AV94" s="313"/>
      <c r="AW94" s="313"/>
      <c r="AX94" s="667"/>
      <c r="AY94" s="373"/>
      <c r="AZ94" s="667"/>
      <c r="BA94" s="373"/>
      <c r="BB94" s="315"/>
      <c r="BC94" s="315"/>
      <c r="BD94" s="313"/>
      <c r="BE94" s="349"/>
      <c r="BF94" s="348"/>
      <c r="BG94" s="349"/>
      <c r="BH94" s="313"/>
      <c r="BI94" s="313"/>
      <c r="BJ94" s="315"/>
      <c r="BK94" s="373"/>
      <c r="BL94" s="667"/>
      <c r="BM94" s="373"/>
      <c r="BN94" s="315"/>
      <c r="BO94" s="315"/>
      <c r="BP94" s="313"/>
      <c r="BQ94" s="349"/>
      <c r="BR94" s="313"/>
      <c r="BS94" s="349"/>
      <c r="BT94" s="313"/>
      <c r="BU94" s="313"/>
      <c r="BV94" s="315"/>
      <c r="BW94" s="373"/>
      <c r="BX94" s="315"/>
      <c r="BY94" s="373"/>
      <c r="BZ94" s="315"/>
      <c r="CA94" s="315"/>
      <c r="CB94" s="353"/>
      <c r="CC94" s="313"/>
      <c r="CD94" s="522"/>
      <c r="CE94" s="526"/>
      <c r="CF94" s="527"/>
      <c r="CG94" s="526"/>
      <c r="CH94" s="527"/>
      <c r="CI94" s="526"/>
      <c r="CJ94" s="527"/>
      <c r="CK94" s="526"/>
      <c r="CL94" s="527"/>
      <c r="CM94" s="526"/>
      <c r="CN94" s="527"/>
      <c r="CO94" s="526"/>
      <c r="CP94" s="527"/>
      <c r="CQ94" s="526"/>
      <c r="CR94" s="527"/>
      <c r="CS94" s="522"/>
      <c r="CT94" s="313"/>
      <c r="CU94" s="313"/>
      <c r="CV94" s="313"/>
      <c r="CW94" s="313"/>
      <c r="CX94" s="313"/>
      <c r="CY94" s="313"/>
      <c r="CZ94" s="313"/>
      <c r="DA94" s="313"/>
      <c r="DB94" s="313"/>
      <c r="DC94" s="313"/>
    </row>
    <row r="95" spans="1:107" s="2" customFormat="1">
      <c r="A95" s="347"/>
      <c r="B95" s="347"/>
      <c r="C95" s="268"/>
      <c r="D95" s="346"/>
      <c r="E95" s="347"/>
      <c r="F95" s="349"/>
      <c r="G95" s="349"/>
      <c r="H95" s="348"/>
      <c r="I95" s="347"/>
      <c r="J95" s="348"/>
      <c r="K95" s="349"/>
      <c r="L95" s="348"/>
      <c r="M95" s="347"/>
      <c r="N95" s="347"/>
      <c r="O95" s="313"/>
      <c r="P95" s="313"/>
      <c r="Q95" s="313"/>
      <c r="R95" s="313"/>
      <c r="S95" s="313"/>
      <c r="T95" s="348"/>
      <c r="U95" s="349"/>
      <c r="V95" s="348"/>
      <c r="W95" s="349"/>
      <c r="X95" s="313"/>
      <c r="Y95" s="313"/>
      <c r="Z95" s="667"/>
      <c r="AA95" s="373"/>
      <c r="AB95" s="667"/>
      <c r="AC95" s="373"/>
      <c r="AD95" s="315"/>
      <c r="AE95" s="315"/>
      <c r="AF95" s="348"/>
      <c r="AG95" s="349"/>
      <c r="AH95" s="348"/>
      <c r="AI95" s="349"/>
      <c r="AJ95" s="313"/>
      <c r="AK95" s="313"/>
      <c r="AL95" s="667"/>
      <c r="AM95" s="373"/>
      <c r="AN95" s="667"/>
      <c r="AO95" s="373"/>
      <c r="AP95" s="315"/>
      <c r="AQ95" s="315"/>
      <c r="AR95" s="348"/>
      <c r="AS95" s="349"/>
      <c r="AT95" s="348"/>
      <c r="AU95" s="349"/>
      <c r="AV95" s="313"/>
      <c r="AW95" s="313"/>
      <c r="AX95" s="667"/>
      <c r="AY95" s="373"/>
      <c r="AZ95" s="667"/>
      <c r="BA95" s="373"/>
      <c r="BB95" s="315"/>
      <c r="BC95" s="315"/>
      <c r="BD95" s="313"/>
      <c r="BE95" s="349"/>
      <c r="BF95" s="348"/>
      <c r="BG95" s="349"/>
      <c r="BH95" s="313"/>
      <c r="BI95" s="313"/>
      <c r="BJ95" s="315"/>
      <c r="BK95" s="373"/>
      <c r="BL95" s="667"/>
      <c r="BM95" s="373"/>
      <c r="BN95" s="315"/>
      <c r="BO95" s="315"/>
      <c r="BP95" s="313"/>
      <c r="BQ95" s="349"/>
      <c r="BR95" s="313"/>
      <c r="BS95" s="349"/>
      <c r="BT95" s="313"/>
      <c r="BU95" s="313"/>
      <c r="BV95" s="315"/>
      <c r="BW95" s="373"/>
      <c r="BX95" s="315"/>
      <c r="BY95" s="373"/>
      <c r="BZ95" s="315"/>
      <c r="CA95" s="315"/>
      <c r="CB95" s="353"/>
      <c r="CC95" s="313"/>
      <c r="CD95" s="522"/>
      <c r="CE95" s="526"/>
      <c r="CF95" s="527"/>
      <c r="CG95" s="526"/>
      <c r="CH95" s="527"/>
      <c r="CI95" s="526"/>
      <c r="CJ95" s="527"/>
      <c r="CK95" s="526"/>
      <c r="CL95" s="527"/>
      <c r="CM95" s="526"/>
      <c r="CN95" s="527"/>
      <c r="CO95" s="526"/>
      <c r="CP95" s="527"/>
      <c r="CQ95" s="526"/>
      <c r="CR95" s="527"/>
      <c r="CS95" s="522"/>
      <c r="CT95" s="313"/>
      <c r="CU95" s="313"/>
      <c r="CV95" s="313"/>
      <c r="CW95" s="313"/>
      <c r="CX95" s="313"/>
      <c r="CY95" s="313"/>
      <c r="CZ95" s="313"/>
      <c r="DA95" s="313"/>
      <c r="DB95" s="313"/>
      <c r="DC95" s="313"/>
    </row>
    <row r="96" spans="1:107" s="2" customFormat="1">
      <c r="A96" s="347"/>
      <c r="B96" s="347"/>
      <c r="C96" s="268"/>
      <c r="D96" s="346"/>
      <c r="E96" s="347"/>
      <c r="F96" s="349"/>
      <c r="G96" s="349"/>
      <c r="H96" s="348"/>
      <c r="I96" s="347"/>
      <c r="J96" s="348"/>
      <c r="K96" s="349"/>
      <c r="L96" s="348"/>
      <c r="M96" s="347"/>
      <c r="N96" s="347"/>
      <c r="O96" s="313"/>
      <c r="P96" s="313"/>
      <c r="Q96" s="313"/>
      <c r="R96" s="313"/>
      <c r="S96" s="313"/>
      <c r="T96" s="348"/>
      <c r="U96" s="349"/>
      <c r="V96" s="348"/>
      <c r="W96" s="349"/>
      <c r="X96" s="313"/>
      <c r="Y96" s="313"/>
      <c r="Z96" s="667"/>
      <c r="AA96" s="373"/>
      <c r="AB96" s="667"/>
      <c r="AC96" s="373"/>
      <c r="AD96" s="315"/>
      <c r="AE96" s="315"/>
      <c r="AF96" s="348"/>
      <c r="AG96" s="349"/>
      <c r="AH96" s="348"/>
      <c r="AI96" s="349"/>
      <c r="AJ96" s="313"/>
      <c r="AK96" s="313"/>
      <c r="AL96" s="667"/>
      <c r="AM96" s="373"/>
      <c r="AN96" s="667"/>
      <c r="AO96" s="373"/>
      <c r="AP96" s="315"/>
      <c r="AQ96" s="315"/>
      <c r="AR96" s="348"/>
      <c r="AS96" s="349"/>
      <c r="AT96" s="348"/>
      <c r="AU96" s="349"/>
      <c r="AV96" s="313"/>
      <c r="AW96" s="313"/>
      <c r="AX96" s="667"/>
      <c r="AY96" s="373"/>
      <c r="AZ96" s="667"/>
      <c r="BA96" s="373"/>
      <c r="BB96" s="315"/>
      <c r="BC96" s="315"/>
      <c r="BD96" s="313"/>
      <c r="BE96" s="349"/>
      <c r="BF96" s="348"/>
      <c r="BG96" s="349"/>
      <c r="BH96" s="313"/>
      <c r="BI96" s="313"/>
      <c r="BJ96" s="315"/>
      <c r="BK96" s="373"/>
      <c r="BL96" s="667"/>
      <c r="BM96" s="373"/>
      <c r="BN96" s="315"/>
      <c r="BO96" s="315"/>
      <c r="BP96" s="313"/>
      <c r="BQ96" s="349"/>
      <c r="BR96" s="313"/>
      <c r="BS96" s="349"/>
      <c r="BT96" s="313"/>
      <c r="BU96" s="313"/>
      <c r="BV96" s="315"/>
      <c r="BW96" s="373"/>
      <c r="BX96" s="315"/>
      <c r="BY96" s="373"/>
      <c r="BZ96" s="315"/>
      <c r="CA96" s="315"/>
      <c r="CB96" s="353"/>
      <c r="CC96" s="313"/>
      <c r="CD96" s="522"/>
      <c r="CE96" s="526"/>
      <c r="CF96" s="527"/>
      <c r="CG96" s="526"/>
      <c r="CH96" s="527"/>
      <c r="CI96" s="526"/>
      <c r="CJ96" s="527"/>
      <c r="CK96" s="526"/>
      <c r="CL96" s="527"/>
      <c r="CM96" s="526"/>
      <c r="CN96" s="527"/>
      <c r="CO96" s="526"/>
      <c r="CP96" s="527"/>
      <c r="CQ96" s="526"/>
      <c r="CR96" s="527"/>
      <c r="CS96" s="522"/>
      <c r="CT96" s="313"/>
      <c r="CU96" s="313"/>
      <c r="CV96" s="313"/>
      <c r="CW96" s="313"/>
      <c r="CX96" s="313"/>
      <c r="CY96" s="313"/>
      <c r="CZ96" s="313"/>
      <c r="DA96" s="313"/>
      <c r="DB96" s="313"/>
      <c r="DC96" s="313"/>
    </row>
    <row r="97" spans="1:107" s="2" customFormat="1">
      <c r="A97" s="347"/>
      <c r="B97" s="347"/>
      <c r="C97" s="268"/>
      <c r="D97" s="346"/>
      <c r="E97" s="347"/>
      <c r="F97" s="349"/>
      <c r="G97" s="349"/>
      <c r="H97" s="348"/>
      <c r="I97" s="347"/>
      <c r="J97" s="348"/>
      <c r="K97" s="349"/>
      <c r="L97" s="348"/>
      <c r="M97" s="347"/>
      <c r="N97" s="347"/>
      <c r="O97" s="313"/>
      <c r="P97" s="313"/>
      <c r="Q97" s="313"/>
      <c r="R97" s="313"/>
      <c r="S97" s="313"/>
      <c r="T97" s="348"/>
      <c r="U97" s="349"/>
      <c r="V97" s="348"/>
      <c r="W97" s="349"/>
      <c r="X97" s="313"/>
      <c r="Y97" s="313"/>
      <c r="Z97" s="667"/>
      <c r="AA97" s="373"/>
      <c r="AB97" s="667"/>
      <c r="AC97" s="373"/>
      <c r="AD97" s="315"/>
      <c r="AE97" s="315"/>
      <c r="AF97" s="348"/>
      <c r="AG97" s="349"/>
      <c r="AH97" s="348"/>
      <c r="AI97" s="349"/>
      <c r="AJ97" s="313"/>
      <c r="AK97" s="313"/>
      <c r="AL97" s="667"/>
      <c r="AM97" s="373"/>
      <c r="AN97" s="667"/>
      <c r="AO97" s="373"/>
      <c r="AP97" s="315"/>
      <c r="AQ97" s="315"/>
      <c r="AR97" s="348"/>
      <c r="AS97" s="349"/>
      <c r="AT97" s="348"/>
      <c r="AU97" s="349"/>
      <c r="AV97" s="313"/>
      <c r="AW97" s="313"/>
      <c r="AX97" s="667"/>
      <c r="AY97" s="373"/>
      <c r="AZ97" s="667"/>
      <c r="BA97" s="373"/>
      <c r="BB97" s="315"/>
      <c r="BC97" s="315"/>
      <c r="BD97" s="313"/>
      <c r="BE97" s="349"/>
      <c r="BF97" s="348"/>
      <c r="BG97" s="349"/>
      <c r="BH97" s="313"/>
      <c r="BI97" s="313"/>
      <c r="BJ97" s="315"/>
      <c r="BK97" s="373"/>
      <c r="BL97" s="667"/>
      <c r="BM97" s="373"/>
      <c r="BN97" s="315"/>
      <c r="BO97" s="315"/>
      <c r="BP97" s="313"/>
      <c r="BQ97" s="349"/>
      <c r="BR97" s="313"/>
      <c r="BS97" s="349"/>
      <c r="BT97" s="313"/>
      <c r="BU97" s="313"/>
      <c r="BV97" s="315"/>
      <c r="BW97" s="373"/>
      <c r="BX97" s="315"/>
      <c r="BY97" s="373"/>
      <c r="BZ97" s="315"/>
      <c r="CA97" s="315"/>
      <c r="CB97" s="353"/>
      <c r="CC97" s="313"/>
      <c r="CD97" s="522"/>
      <c r="CE97" s="526"/>
      <c r="CF97" s="527"/>
      <c r="CG97" s="526"/>
      <c r="CH97" s="527"/>
      <c r="CI97" s="526"/>
      <c r="CJ97" s="527"/>
      <c r="CK97" s="526"/>
      <c r="CL97" s="527"/>
      <c r="CM97" s="526"/>
      <c r="CN97" s="527"/>
      <c r="CO97" s="526"/>
      <c r="CP97" s="527"/>
      <c r="CQ97" s="526"/>
      <c r="CR97" s="527"/>
      <c r="CS97" s="522"/>
      <c r="CT97" s="313"/>
      <c r="CU97" s="313"/>
      <c r="CV97" s="313"/>
      <c r="CW97" s="313"/>
      <c r="CX97" s="313"/>
      <c r="CY97" s="313"/>
      <c r="CZ97" s="313"/>
      <c r="DA97" s="313"/>
      <c r="DB97" s="313"/>
      <c r="DC97" s="313"/>
    </row>
    <row r="98" spans="1:107" s="2" customFormat="1">
      <c r="A98" s="347"/>
      <c r="B98" s="347"/>
      <c r="C98" s="268"/>
      <c r="D98" s="346"/>
      <c r="E98" s="347"/>
      <c r="F98" s="349"/>
      <c r="G98" s="349"/>
      <c r="H98" s="348"/>
      <c r="I98" s="347"/>
      <c r="J98" s="348"/>
      <c r="K98" s="349"/>
      <c r="L98" s="348"/>
      <c r="M98" s="347"/>
      <c r="N98" s="347"/>
      <c r="O98" s="313"/>
      <c r="P98" s="313"/>
      <c r="Q98" s="313"/>
      <c r="R98" s="313"/>
      <c r="S98" s="313"/>
      <c r="T98" s="348"/>
      <c r="U98" s="349"/>
      <c r="V98" s="348"/>
      <c r="W98" s="349"/>
      <c r="X98" s="313"/>
      <c r="Y98" s="313"/>
      <c r="Z98" s="667"/>
      <c r="AA98" s="373"/>
      <c r="AB98" s="667"/>
      <c r="AC98" s="373"/>
      <c r="AD98" s="315"/>
      <c r="AE98" s="315"/>
      <c r="AF98" s="348"/>
      <c r="AG98" s="349"/>
      <c r="AH98" s="348"/>
      <c r="AI98" s="349"/>
      <c r="AJ98" s="313"/>
      <c r="AK98" s="313"/>
      <c r="AL98" s="667"/>
      <c r="AM98" s="373"/>
      <c r="AN98" s="667"/>
      <c r="AO98" s="373"/>
      <c r="AP98" s="315"/>
      <c r="AQ98" s="315"/>
      <c r="AR98" s="348"/>
      <c r="AS98" s="349"/>
      <c r="AT98" s="348"/>
      <c r="AU98" s="349"/>
      <c r="AV98" s="313"/>
      <c r="AW98" s="313"/>
      <c r="AX98" s="667"/>
      <c r="AY98" s="373"/>
      <c r="AZ98" s="667"/>
      <c r="BA98" s="373"/>
      <c r="BB98" s="315"/>
      <c r="BC98" s="315"/>
      <c r="BD98" s="313"/>
      <c r="BE98" s="349"/>
      <c r="BF98" s="348"/>
      <c r="BG98" s="349"/>
      <c r="BH98" s="313"/>
      <c r="BI98" s="313"/>
      <c r="BJ98" s="315"/>
      <c r="BK98" s="373"/>
      <c r="BL98" s="667"/>
      <c r="BM98" s="373"/>
      <c r="BN98" s="315"/>
      <c r="BO98" s="315"/>
      <c r="BP98" s="313"/>
      <c r="BQ98" s="349"/>
      <c r="BR98" s="313"/>
      <c r="BS98" s="349"/>
      <c r="BT98" s="313"/>
      <c r="BU98" s="313"/>
      <c r="BV98" s="315"/>
      <c r="BW98" s="373"/>
      <c r="BX98" s="315"/>
      <c r="BY98" s="373"/>
      <c r="BZ98" s="315"/>
      <c r="CA98" s="315"/>
      <c r="CB98" s="353"/>
      <c r="CC98" s="313"/>
      <c r="CD98" s="522"/>
      <c r="CE98" s="526"/>
      <c r="CF98" s="527"/>
      <c r="CG98" s="526"/>
      <c r="CH98" s="527"/>
      <c r="CI98" s="526"/>
      <c r="CJ98" s="527"/>
      <c r="CK98" s="526"/>
      <c r="CL98" s="527"/>
      <c r="CM98" s="526"/>
      <c r="CN98" s="527"/>
      <c r="CO98" s="526"/>
      <c r="CP98" s="527"/>
      <c r="CQ98" s="526"/>
      <c r="CR98" s="527"/>
      <c r="CS98" s="522"/>
      <c r="CT98" s="313"/>
      <c r="CU98" s="313"/>
      <c r="CV98" s="313"/>
      <c r="CW98" s="313"/>
      <c r="CX98" s="313"/>
      <c r="CY98" s="313"/>
      <c r="CZ98" s="313"/>
      <c r="DA98" s="313"/>
      <c r="DB98" s="313"/>
      <c r="DC98" s="313"/>
    </row>
    <row r="99" spans="1:107" s="2" customFormat="1">
      <c r="A99" s="347"/>
      <c r="B99" s="347"/>
      <c r="C99" s="268"/>
      <c r="D99" s="346"/>
      <c r="E99" s="347"/>
      <c r="F99" s="349"/>
      <c r="G99" s="349"/>
      <c r="H99" s="348"/>
      <c r="I99" s="347"/>
      <c r="J99" s="348"/>
      <c r="K99" s="349"/>
      <c r="L99" s="348"/>
      <c r="M99" s="347"/>
      <c r="N99" s="347"/>
      <c r="O99" s="313"/>
      <c r="P99" s="313"/>
      <c r="Q99" s="313"/>
      <c r="R99" s="313"/>
      <c r="S99" s="313"/>
      <c r="T99" s="348"/>
      <c r="U99" s="349"/>
      <c r="V99" s="348"/>
      <c r="W99" s="349"/>
      <c r="X99" s="313"/>
      <c r="Y99" s="313"/>
      <c r="Z99" s="667"/>
      <c r="AA99" s="373"/>
      <c r="AB99" s="667"/>
      <c r="AC99" s="373"/>
      <c r="AD99" s="315"/>
      <c r="AE99" s="315"/>
      <c r="AF99" s="348"/>
      <c r="AG99" s="349"/>
      <c r="AH99" s="348"/>
      <c r="AI99" s="349"/>
      <c r="AJ99" s="313"/>
      <c r="AK99" s="313"/>
      <c r="AL99" s="667"/>
      <c r="AM99" s="373"/>
      <c r="AN99" s="667"/>
      <c r="AO99" s="373"/>
      <c r="AP99" s="315"/>
      <c r="AQ99" s="315"/>
      <c r="AR99" s="348"/>
      <c r="AS99" s="349"/>
      <c r="AT99" s="348"/>
      <c r="AU99" s="349"/>
      <c r="AV99" s="313"/>
      <c r="AW99" s="313"/>
      <c r="AX99" s="667"/>
      <c r="AY99" s="373"/>
      <c r="AZ99" s="667"/>
      <c r="BA99" s="373"/>
      <c r="BB99" s="315"/>
      <c r="BC99" s="315"/>
      <c r="BD99" s="313"/>
      <c r="BE99" s="349"/>
      <c r="BF99" s="348"/>
      <c r="BG99" s="349"/>
      <c r="BH99" s="313"/>
      <c r="BI99" s="313"/>
      <c r="BJ99" s="315"/>
      <c r="BK99" s="373"/>
      <c r="BL99" s="667"/>
      <c r="BM99" s="373"/>
      <c r="BN99" s="315"/>
      <c r="BO99" s="315"/>
      <c r="BP99" s="313"/>
      <c r="BQ99" s="349"/>
      <c r="BR99" s="313"/>
      <c r="BS99" s="349"/>
      <c r="BT99" s="313"/>
      <c r="BU99" s="313"/>
      <c r="BV99" s="315"/>
      <c r="BW99" s="373"/>
      <c r="BX99" s="315"/>
      <c r="BY99" s="373"/>
      <c r="BZ99" s="315"/>
      <c r="CA99" s="315"/>
      <c r="CB99" s="353"/>
      <c r="CC99" s="313"/>
      <c r="CD99" s="522"/>
      <c r="CE99" s="526"/>
      <c r="CF99" s="527"/>
      <c r="CG99" s="526"/>
      <c r="CH99" s="527"/>
      <c r="CI99" s="526"/>
      <c r="CJ99" s="527"/>
      <c r="CK99" s="526"/>
      <c r="CL99" s="527"/>
      <c r="CM99" s="526"/>
      <c r="CN99" s="527"/>
      <c r="CO99" s="526"/>
      <c r="CP99" s="527"/>
      <c r="CQ99" s="526"/>
      <c r="CR99" s="527"/>
      <c r="CS99" s="522"/>
      <c r="CT99" s="313"/>
      <c r="CU99" s="313"/>
      <c r="CV99" s="313"/>
      <c r="CW99" s="313"/>
      <c r="CX99" s="313"/>
      <c r="CY99" s="313"/>
      <c r="CZ99" s="313"/>
      <c r="DA99" s="313"/>
      <c r="DB99" s="313"/>
      <c r="DC99" s="313"/>
    </row>
    <row r="100" spans="1:107" s="2" customFormat="1">
      <c r="A100" s="347"/>
      <c r="B100" s="347"/>
      <c r="C100" s="268"/>
      <c r="D100" s="346"/>
      <c r="E100" s="347"/>
      <c r="F100" s="349"/>
      <c r="G100" s="349"/>
      <c r="H100" s="348"/>
      <c r="I100" s="347"/>
      <c r="J100" s="348"/>
      <c r="K100" s="349"/>
      <c r="L100" s="348"/>
      <c r="M100" s="347"/>
      <c r="N100" s="347"/>
      <c r="O100" s="313"/>
      <c r="P100" s="313"/>
      <c r="Q100" s="313"/>
      <c r="R100" s="313"/>
      <c r="S100" s="313"/>
      <c r="T100" s="348"/>
      <c r="U100" s="349"/>
      <c r="V100" s="348"/>
      <c r="W100" s="349"/>
      <c r="X100" s="313"/>
      <c r="Y100" s="313"/>
      <c r="Z100" s="667"/>
      <c r="AA100" s="373"/>
      <c r="AB100" s="667"/>
      <c r="AC100" s="373"/>
      <c r="AD100" s="315"/>
      <c r="AE100" s="315"/>
      <c r="AF100" s="348"/>
      <c r="AG100" s="349"/>
      <c r="AH100" s="348"/>
      <c r="AI100" s="349"/>
      <c r="AJ100" s="313"/>
      <c r="AK100" s="313"/>
      <c r="AL100" s="667"/>
      <c r="AM100" s="373"/>
      <c r="AN100" s="667"/>
      <c r="AO100" s="373"/>
      <c r="AP100" s="315"/>
      <c r="AQ100" s="315"/>
      <c r="AR100" s="348"/>
      <c r="AS100" s="349"/>
      <c r="AT100" s="348"/>
      <c r="AU100" s="349"/>
      <c r="AV100" s="313"/>
      <c r="AW100" s="313"/>
      <c r="AX100" s="667"/>
      <c r="AY100" s="373"/>
      <c r="AZ100" s="667"/>
      <c r="BA100" s="373"/>
      <c r="BB100" s="315"/>
      <c r="BC100" s="315"/>
      <c r="BD100" s="313"/>
      <c r="BE100" s="349"/>
      <c r="BF100" s="348"/>
      <c r="BG100" s="349"/>
      <c r="BH100" s="313"/>
      <c r="BI100" s="313"/>
      <c r="BJ100" s="315"/>
      <c r="BK100" s="373"/>
      <c r="BL100" s="667"/>
      <c r="BM100" s="373"/>
      <c r="BN100" s="315"/>
      <c r="BO100" s="315"/>
      <c r="BP100" s="313"/>
      <c r="BQ100" s="349"/>
      <c r="BR100" s="313"/>
      <c r="BS100" s="349"/>
      <c r="BT100" s="313"/>
      <c r="BU100" s="313"/>
      <c r="BV100" s="315"/>
      <c r="BW100" s="373"/>
      <c r="BX100" s="315"/>
      <c r="BY100" s="373"/>
      <c r="BZ100" s="315"/>
      <c r="CA100" s="315"/>
      <c r="CB100" s="353"/>
      <c r="CC100" s="313"/>
      <c r="CD100" s="522"/>
      <c r="CE100" s="526"/>
      <c r="CF100" s="527"/>
      <c r="CG100" s="526"/>
      <c r="CH100" s="527"/>
      <c r="CI100" s="526"/>
      <c r="CJ100" s="527"/>
      <c r="CK100" s="526"/>
      <c r="CL100" s="527"/>
      <c r="CM100" s="526"/>
      <c r="CN100" s="527"/>
      <c r="CO100" s="526"/>
      <c r="CP100" s="527"/>
      <c r="CQ100" s="526"/>
      <c r="CR100" s="527"/>
      <c r="CS100" s="522"/>
      <c r="CT100" s="313"/>
      <c r="CU100" s="313"/>
      <c r="CV100" s="313"/>
      <c r="CW100" s="313"/>
      <c r="CX100" s="313"/>
      <c r="CY100" s="313"/>
      <c r="CZ100" s="313"/>
      <c r="DA100" s="313"/>
      <c r="DB100" s="313"/>
      <c r="DC100" s="313"/>
    </row>
    <row r="101" spans="1:107" s="2" customFormat="1">
      <c r="A101" s="347"/>
      <c r="B101" s="347"/>
      <c r="C101" s="268"/>
      <c r="D101" s="346"/>
      <c r="E101" s="347"/>
      <c r="F101" s="349"/>
      <c r="G101" s="349"/>
      <c r="H101" s="348"/>
      <c r="I101" s="347"/>
      <c r="J101" s="348"/>
      <c r="K101" s="349"/>
      <c r="L101" s="348"/>
      <c r="M101" s="347"/>
      <c r="N101" s="347"/>
      <c r="O101" s="313"/>
      <c r="P101" s="313"/>
      <c r="Q101" s="313"/>
      <c r="R101" s="313"/>
      <c r="S101" s="313"/>
      <c r="T101" s="348"/>
      <c r="U101" s="349"/>
      <c r="V101" s="348"/>
      <c r="W101" s="349"/>
      <c r="X101" s="313"/>
      <c r="Y101" s="313"/>
      <c r="Z101" s="667"/>
      <c r="AA101" s="373"/>
      <c r="AB101" s="667"/>
      <c r="AC101" s="373"/>
      <c r="AD101" s="315"/>
      <c r="AE101" s="315"/>
      <c r="AF101" s="348"/>
      <c r="AG101" s="349"/>
      <c r="AH101" s="348"/>
      <c r="AI101" s="349"/>
      <c r="AJ101" s="313"/>
      <c r="AK101" s="313"/>
      <c r="AL101" s="667"/>
      <c r="AM101" s="373"/>
      <c r="AN101" s="667"/>
      <c r="AO101" s="373"/>
      <c r="AP101" s="315"/>
      <c r="AQ101" s="315"/>
      <c r="AR101" s="348"/>
      <c r="AS101" s="349"/>
      <c r="AT101" s="348"/>
      <c r="AU101" s="349"/>
      <c r="AV101" s="313"/>
      <c r="AW101" s="313"/>
      <c r="AX101" s="667"/>
      <c r="AY101" s="373"/>
      <c r="AZ101" s="667"/>
      <c r="BA101" s="373"/>
      <c r="BB101" s="315"/>
      <c r="BC101" s="315"/>
      <c r="BD101" s="313"/>
      <c r="BE101" s="349"/>
      <c r="BF101" s="348"/>
      <c r="BG101" s="349"/>
      <c r="BH101" s="313"/>
      <c r="BI101" s="313"/>
      <c r="BJ101" s="315"/>
      <c r="BK101" s="373"/>
      <c r="BL101" s="667"/>
      <c r="BM101" s="373"/>
      <c r="BN101" s="315"/>
      <c r="BO101" s="315"/>
      <c r="BP101" s="313"/>
      <c r="BQ101" s="349"/>
      <c r="BR101" s="313"/>
      <c r="BS101" s="349"/>
      <c r="BT101" s="313"/>
      <c r="BU101" s="313"/>
      <c r="BV101" s="315"/>
      <c r="BW101" s="373"/>
      <c r="BX101" s="315"/>
      <c r="BY101" s="373"/>
      <c r="BZ101" s="315"/>
      <c r="CA101" s="315"/>
      <c r="CB101" s="353"/>
      <c r="CC101" s="313"/>
      <c r="CD101" s="522"/>
      <c r="CE101" s="526"/>
      <c r="CF101" s="527"/>
      <c r="CG101" s="526"/>
      <c r="CH101" s="527"/>
      <c r="CI101" s="526"/>
      <c r="CJ101" s="527"/>
      <c r="CK101" s="526"/>
      <c r="CL101" s="527"/>
      <c r="CM101" s="526"/>
      <c r="CN101" s="527"/>
      <c r="CO101" s="526"/>
      <c r="CP101" s="527"/>
      <c r="CQ101" s="526"/>
      <c r="CR101" s="527"/>
      <c r="CS101" s="522"/>
      <c r="CT101" s="313"/>
      <c r="CU101" s="313"/>
      <c r="CV101" s="313"/>
      <c r="CW101" s="313"/>
      <c r="CX101" s="313"/>
      <c r="CY101" s="313"/>
      <c r="CZ101" s="313"/>
      <c r="DA101" s="313"/>
      <c r="DB101" s="313"/>
      <c r="DC101" s="313"/>
    </row>
    <row r="102" spans="1:107" s="2" customFormat="1">
      <c r="A102" s="347"/>
      <c r="B102" s="347"/>
      <c r="C102" s="268"/>
      <c r="D102" s="346"/>
      <c r="E102" s="347"/>
      <c r="F102" s="349"/>
      <c r="G102" s="349"/>
      <c r="H102" s="348"/>
      <c r="I102" s="347"/>
      <c r="J102" s="348"/>
      <c r="K102" s="349"/>
      <c r="L102" s="348"/>
      <c r="M102" s="347"/>
      <c r="N102" s="347"/>
      <c r="O102" s="313"/>
      <c r="P102" s="313"/>
      <c r="Q102" s="313"/>
      <c r="R102" s="313"/>
      <c r="S102" s="313"/>
      <c r="T102" s="348"/>
      <c r="U102" s="349"/>
      <c r="V102" s="348"/>
      <c r="W102" s="349"/>
      <c r="X102" s="313"/>
      <c r="Y102" s="313"/>
      <c r="Z102" s="667"/>
      <c r="AA102" s="373"/>
      <c r="AB102" s="667"/>
      <c r="AC102" s="373"/>
      <c r="AD102" s="315"/>
      <c r="AE102" s="315"/>
      <c r="AF102" s="348"/>
      <c r="AG102" s="349"/>
      <c r="AH102" s="348"/>
      <c r="AI102" s="349"/>
      <c r="AJ102" s="313"/>
      <c r="AK102" s="313"/>
      <c r="AL102" s="667"/>
      <c r="AM102" s="373"/>
      <c r="AN102" s="667"/>
      <c r="AO102" s="373"/>
      <c r="AP102" s="315"/>
      <c r="AQ102" s="315"/>
      <c r="AR102" s="348"/>
      <c r="AS102" s="349"/>
      <c r="AT102" s="348"/>
      <c r="AU102" s="349"/>
      <c r="AV102" s="313"/>
      <c r="AW102" s="313"/>
      <c r="AX102" s="667"/>
      <c r="AY102" s="373"/>
      <c r="AZ102" s="667"/>
      <c r="BA102" s="373"/>
      <c r="BB102" s="315"/>
      <c r="BC102" s="315"/>
      <c r="BD102" s="313"/>
      <c r="BE102" s="349"/>
      <c r="BF102" s="348"/>
      <c r="BG102" s="349"/>
      <c r="BH102" s="313"/>
      <c r="BI102" s="313"/>
      <c r="BJ102" s="315"/>
      <c r="BK102" s="373"/>
      <c r="BL102" s="667"/>
      <c r="BM102" s="373"/>
      <c r="BN102" s="315"/>
      <c r="BO102" s="315"/>
      <c r="BP102" s="313"/>
      <c r="BQ102" s="349"/>
      <c r="BR102" s="313"/>
      <c r="BS102" s="349"/>
      <c r="BT102" s="313"/>
      <c r="BU102" s="313"/>
      <c r="BV102" s="315"/>
      <c r="BW102" s="373"/>
      <c r="BX102" s="315"/>
      <c r="BY102" s="373"/>
      <c r="BZ102" s="315"/>
      <c r="CA102" s="315"/>
      <c r="CB102" s="353"/>
      <c r="CC102" s="313"/>
      <c r="CD102" s="522"/>
      <c r="CE102" s="526"/>
      <c r="CF102" s="527"/>
      <c r="CG102" s="526"/>
      <c r="CH102" s="527"/>
      <c r="CI102" s="526"/>
      <c r="CJ102" s="527"/>
      <c r="CK102" s="526"/>
      <c r="CL102" s="527"/>
      <c r="CM102" s="526"/>
      <c r="CN102" s="527"/>
      <c r="CO102" s="526"/>
      <c r="CP102" s="527"/>
      <c r="CQ102" s="526"/>
      <c r="CR102" s="527"/>
      <c r="CS102" s="522"/>
      <c r="CT102" s="313"/>
      <c r="CU102" s="313"/>
      <c r="CV102" s="313"/>
      <c r="CW102" s="313"/>
      <c r="CX102" s="313"/>
      <c r="CY102" s="313"/>
      <c r="CZ102" s="313"/>
      <c r="DA102" s="313"/>
      <c r="DB102" s="313"/>
      <c r="DC102" s="313"/>
    </row>
    <row r="103" spans="1:107" s="2" customFormat="1">
      <c r="A103" s="347"/>
      <c r="B103" s="347"/>
      <c r="C103" s="268"/>
      <c r="D103" s="346"/>
      <c r="E103" s="347"/>
      <c r="F103" s="349"/>
      <c r="G103" s="349"/>
      <c r="H103" s="348"/>
      <c r="I103" s="347"/>
      <c r="J103" s="348"/>
      <c r="K103" s="349"/>
      <c r="L103" s="348"/>
      <c r="M103" s="347"/>
      <c r="N103" s="347"/>
      <c r="O103" s="313"/>
      <c r="P103" s="313"/>
      <c r="Q103" s="313"/>
      <c r="R103" s="313"/>
      <c r="S103" s="313"/>
      <c r="T103" s="348"/>
      <c r="U103" s="349"/>
      <c r="V103" s="348"/>
      <c r="W103" s="349"/>
      <c r="X103" s="313"/>
      <c r="Y103" s="313"/>
      <c r="Z103" s="667"/>
      <c r="AA103" s="373"/>
      <c r="AB103" s="667"/>
      <c r="AC103" s="373"/>
      <c r="AD103" s="315"/>
      <c r="AE103" s="315"/>
      <c r="AF103" s="348"/>
      <c r="AG103" s="349"/>
      <c r="AH103" s="348"/>
      <c r="AI103" s="349"/>
      <c r="AJ103" s="313"/>
      <c r="AK103" s="313"/>
      <c r="AL103" s="667"/>
      <c r="AM103" s="373"/>
      <c r="AN103" s="667"/>
      <c r="AO103" s="373"/>
      <c r="AP103" s="315"/>
      <c r="AQ103" s="315"/>
      <c r="AR103" s="348"/>
      <c r="AS103" s="349"/>
      <c r="AT103" s="348"/>
      <c r="AU103" s="349"/>
      <c r="AV103" s="313"/>
      <c r="AW103" s="313"/>
      <c r="AX103" s="667"/>
      <c r="AY103" s="373"/>
      <c r="AZ103" s="667"/>
      <c r="BA103" s="373"/>
      <c r="BB103" s="315"/>
      <c r="BC103" s="315"/>
      <c r="BD103" s="313"/>
      <c r="BE103" s="349"/>
      <c r="BF103" s="348"/>
      <c r="BG103" s="349"/>
      <c r="BH103" s="313"/>
      <c r="BI103" s="313"/>
      <c r="BJ103" s="315"/>
      <c r="BK103" s="373"/>
      <c r="BL103" s="667"/>
      <c r="BM103" s="373"/>
      <c r="BN103" s="315"/>
      <c r="BO103" s="315"/>
      <c r="BP103" s="313"/>
      <c r="BQ103" s="349"/>
      <c r="BR103" s="313"/>
      <c r="BS103" s="349"/>
      <c r="BT103" s="313"/>
      <c r="BU103" s="313"/>
      <c r="BV103" s="315"/>
      <c r="BW103" s="373"/>
      <c r="BX103" s="315"/>
      <c r="BY103" s="373"/>
      <c r="BZ103" s="315"/>
      <c r="CA103" s="315"/>
      <c r="CB103" s="353"/>
      <c r="CC103" s="313"/>
      <c r="CD103" s="522"/>
      <c r="CE103" s="526"/>
      <c r="CF103" s="527"/>
      <c r="CG103" s="526"/>
      <c r="CH103" s="527"/>
      <c r="CI103" s="526"/>
      <c r="CJ103" s="527"/>
      <c r="CK103" s="526"/>
      <c r="CL103" s="527"/>
      <c r="CM103" s="526"/>
      <c r="CN103" s="527"/>
      <c r="CO103" s="526"/>
      <c r="CP103" s="527"/>
      <c r="CQ103" s="526"/>
      <c r="CR103" s="527"/>
      <c r="CS103" s="522"/>
      <c r="CT103" s="313"/>
      <c r="CU103" s="313"/>
      <c r="CV103" s="313"/>
      <c r="CW103" s="313"/>
      <c r="CX103" s="313"/>
      <c r="CY103" s="313"/>
      <c r="CZ103" s="313"/>
      <c r="DA103" s="313"/>
      <c r="DB103" s="313"/>
      <c r="DC103" s="313"/>
    </row>
    <row r="104" spans="1:107" s="2" customFormat="1">
      <c r="A104" s="347"/>
      <c r="B104" s="347"/>
      <c r="C104" s="268"/>
      <c r="D104" s="346"/>
      <c r="E104" s="347"/>
      <c r="F104" s="349"/>
      <c r="G104" s="349"/>
      <c r="H104" s="348"/>
      <c r="I104" s="347"/>
      <c r="J104" s="348"/>
      <c r="K104" s="349"/>
      <c r="L104" s="348"/>
      <c r="M104" s="347"/>
      <c r="N104" s="347"/>
      <c r="O104" s="313"/>
      <c r="P104" s="313"/>
      <c r="Q104" s="313"/>
      <c r="R104" s="313"/>
      <c r="S104" s="313"/>
      <c r="T104" s="348"/>
      <c r="U104" s="349"/>
      <c r="V104" s="348"/>
      <c r="W104" s="349"/>
      <c r="X104" s="313"/>
      <c r="Y104" s="313"/>
      <c r="Z104" s="667"/>
      <c r="AA104" s="373"/>
      <c r="AB104" s="667"/>
      <c r="AC104" s="373"/>
      <c r="AD104" s="315"/>
      <c r="AE104" s="315"/>
      <c r="AF104" s="348"/>
      <c r="AG104" s="349"/>
      <c r="AH104" s="348"/>
      <c r="AI104" s="349"/>
      <c r="AJ104" s="313"/>
      <c r="AK104" s="313"/>
      <c r="AL104" s="667"/>
      <c r="AM104" s="373"/>
      <c r="AN104" s="667"/>
      <c r="AO104" s="373"/>
      <c r="AP104" s="315"/>
      <c r="AQ104" s="315"/>
      <c r="AR104" s="348"/>
      <c r="AS104" s="349"/>
      <c r="AT104" s="348"/>
      <c r="AU104" s="349"/>
      <c r="AV104" s="313"/>
      <c r="AW104" s="313"/>
      <c r="AX104" s="667"/>
      <c r="AY104" s="373"/>
      <c r="AZ104" s="667"/>
      <c r="BA104" s="373"/>
      <c r="BB104" s="315"/>
      <c r="BC104" s="315"/>
      <c r="BD104" s="313"/>
      <c r="BE104" s="349"/>
      <c r="BF104" s="348"/>
      <c r="BG104" s="349"/>
      <c r="BH104" s="313"/>
      <c r="BI104" s="313"/>
      <c r="BJ104" s="315"/>
      <c r="BK104" s="373"/>
      <c r="BL104" s="667"/>
      <c r="BM104" s="373"/>
      <c r="BN104" s="315"/>
      <c r="BO104" s="315"/>
      <c r="BP104" s="313"/>
      <c r="BQ104" s="349"/>
      <c r="BR104" s="313"/>
      <c r="BS104" s="349"/>
      <c r="BT104" s="313"/>
      <c r="BU104" s="313"/>
      <c r="BV104" s="315"/>
      <c r="BW104" s="373"/>
      <c r="BX104" s="315"/>
      <c r="BY104" s="373"/>
      <c r="BZ104" s="315"/>
      <c r="CA104" s="315"/>
      <c r="CB104" s="353"/>
      <c r="CC104" s="313"/>
      <c r="CD104" s="522"/>
      <c r="CE104" s="526"/>
      <c r="CF104" s="527"/>
      <c r="CG104" s="526"/>
      <c r="CH104" s="527"/>
      <c r="CI104" s="526"/>
      <c r="CJ104" s="527"/>
      <c r="CK104" s="526"/>
      <c r="CL104" s="527"/>
      <c r="CM104" s="526"/>
      <c r="CN104" s="527"/>
      <c r="CO104" s="526"/>
      <c r="CP104" s="527"/>
      <c r="CQ104" s="526"/>
      <c r="CR104" s="527"/>
      <c r="CS104" s="522"/>
      <c r="CT104" s="313"/>
      <c r="CU104" s="313"/>
      <c r="CV104" s="313"/>
      <c r="CW104" s="313"/>
      <c r="CX104" s="313"/>
      <c r="CY104" s="313"/>
      <c r="CZ104" s="313"/>
      <c r="DA104" s="313"/>
      <c r="DB104" s="313"/>
      <c r="DC104" s="313"/>
    </row>
    <row r="105" spans="1:107" s="2" customFormat="1">
      <c r="A105" s="347"/>
      <c r="B105" s="347"/>
      <c r="C105" s="268"/>
      <c r="D105" s="346"/>
      <c r="E105" s="347"/>
      <c r="F105" s="349"/>
      <c r="G105" s="349"/>
      <c r="H105" s="348"/>
      <c r="I105" s="347"/>
      <c r="J105" s="348"/>
      <c r="K105" s="349"/>
      <c r="L105" s="348"/>
      <c r="M105" s="347"/>
      <c r="N105" s="347"/>
      <c r="O105" s="313"/>
      <c r="P105" s="313"/>
      <c r="Q105" s="313"/>
      <c r="R105" s="313"/>
      <c r="S105" s="313"/>
      <c r="T105" s="348"/>
      <c r="U105" s="349"/>
      <c r="V105" s="348"/>
      <c r="W105" s="349"/>
      <c r="X105" s="313"/>
      <c r="Y105" s="313"/>
      <c r="Z105" s="667"/>
      <c r="AA105" s="373"/>
      <c r="AB105" s="667"/>
      <c r="AC105" s="373"/>
      <c r="AD105" s="315"/>
      <c r="AE105" s="315"/>
      <c r="AF105" s="348"/>
      <c r="AG105" s="349"/>
      <c r="AH105" s="348"/>
      <c r="AI105" s="349"/>
      <c r="AJ105" s="313"/>
      <c r="AK105" s="313"/>
      <c r="AL105" s="667"/>
      <c r="AM105" s="373"/>
      <c r="AN105" s="667"/>
      <c r="AO105" s="373"/>
      <c r="AP105" s="315"/>
      <c r="AQ105" s="315"/>
      <c r="AR105" s="348"/>
      <c r="AS105" s="349"/>
      <c r="AT105" s="348"/>
      <c r="AU105" s="349"/>
      <c r="AV105" s="313"/>
      <c r="AW105" s="313"/>
      <c r="AX105" s="667"/>
      <c r="AY105" s="373"/>
      <c r="AZ105" s="667"/>
      <c r="BA105" s="373"/>
      <c r="BB105" s="315"/>
      <c r="BC105" s="315"/>
      <c r="BD105" s="313"/>
      <c r="BE105" s="349"/>
      <c r="BF105" s="348"/>
      <c r="BG105" s="349"/>
      <c r="BH105" s="313"/>
      <c r="BI105" s="313"/>
      <c r="BJ105" s="315"/>
      <c r="BK105" s="373"/>
      <c r="BL105" s="667"/>
      <c r="BM105" s="373"/>
      <c r="BN105" s="315"/>
      <c r="BO105" s="315"/>
      <c r="BP105" s="313"/>
      <c r="BQ105" s="349"/>
      <c r="BR105" s="313"/>
      <c r="BS105" s="349"/>
      <c r="BT105" s="313"/>
      <c r="BU105" s="313"/>
      <c r="BV105" s="315"/>
      <c r="BW105" s="373"/>
      <c r="BX105" s="315"/>
      <c r="BY105" s="373"/>
      <c r="BZ105" s="315"/>
      <c r="CA105" s="315"/>
      <c r="CB105" s="353"/>
      <c r="CC105" s="313"/>
      <c r="CD105" s="522"/>
      <c r="CE105" s="526"/>
      <c r="CF105" s="527"/>
      <c r="CG105" s="526"/>
      <c r="CH105" s="527"/>
      <c r="CI105" s="526"/>
      <c r="CJ105" s="527"/>
      <c r="CK105" s="526"/>
      <c r="CL105" s="527"/>
      <c r="CM105" s="526"/>
      <c r="CN105" s="527"/>
      <c r="CO105" s="526"/>
      <c r="CP105" s="527"/>
      <c r="CQ105" s="526"/>
      <c r="CR105" s="527"/>
      <c r="CS105" s="522"/>
      <c r="CT105" s="313"/>
      <c r="CU105" s="313"/>
      <c r="CV105" s="313"/>
      <c r="CW105" s="313"/>
      <c r="CX105" s="313"/>
      <c r="CY105" s="313"/>
      <c r="CZ105" s="313"/>
      <c r="DA105" s="313"/>
      <c r="DB105" s="313"/>
      <c r="DC105" s="313"/>
    </row>
    <row r="106" spans="1:107" s="2" customFormat="1">
      <c r="A106" s="347"/>
      <c r="B106" s="347"/>
      <c r="C106" s="268"/>
      <c r="D106" s="346"/>
      <c r="E106" s="347"/>
      <c r="F106" s="349"/>
      <c r="G106" s="349"/>
      <c r="H106" s="348"/>
      <c r="I106" s="347"/>
      <c r="J106" s="348"/>
      <c r="K106" s="349"/>
      <c r="L106" s="348"/>
      <c r="M106" s="347"/>
      <c r="N106" s="347"/>
      <c r="O106" s="313"/>
      <c r="P106" s="313"/>
      <c r="Q106" s="313"/>
      <c r="R106" s="313"/>
      <c r="S106" s="313"/>
      <c r="T106" s="348"/>
      <c r="U106" s="349"/>
      <c r="V106" s="348"/>
      <c r="W106" s="349"/>
      <c r="X106" s="313"/>
      <c r="Y106" s="313"/>
      <c r="Z106" s="667"/>
      <c r="AA106" s="373"/>
      <c r="AB106" s="667"/>
      <c r="AC106" s="373"/>
      <c r="AD106" s="315"/>
      <c r="AE106" s="315"/>
      <c r="AF106" s="348"/>
      <c r="AG106" s="349"/>
      <c r="AH106" s="348"/>
      <c r="AI106" s="349"/>
      <c r="AJ106" s="313"/>
      <c r="AK106" s="313"/>
      <c r="AL106" s="667"/>
      <c r="AM106" s="373"/>
      <c r="AN106" s="667"/>
      <c r="AO106" s="373"/>
      <c r="AP106" s="315"/>
      <c r="AQ106" s="315"/>
      <c r="AR106" s="348"/>
      <c r="AS106" s="349"/>
      <c r="AT106" s="348"/>
      <c r="AU106" s="349"/>
      <c r="AV106" s="313"/>
      <c r="AW106" s="313"/>
      <c r="AX106" s="667"/>
      <c r="AY106" s="373"/>
      <c r="AZ106" s="667"/>
      <c r="BA106" s="373"/>
      <c r="BB106" s="315"/>
      <c r="BC106" s="315"/>
      <c r="BD106" s="313"/>
      <c r="BE106" s="349"/>
      <c r="BF106" s="348"/>
      <c r="BG106" s="349"/>
      <c r="BH106" s="313"/>
      <c r="BI106" s="313"/>
      <c r="BJ106" s="315"/>
      <c r="BK106" s="373"/>
      <c r="BL106" s="667"/>
      <c r="BM106" s="373"/>
      <c r="BN106" s="315"/>
      <c r="BO106" s="315"/>
      <c r="BP106" s="313"/>
      <c r="BQ106" s="349"/>
      <c r="BR106" s="313"/>
      <c r="BS106" s="349"/>
      <c r="BT106" s="313"/>
      <c r="BU106" s="313"/>
      <c r="BV106" s="315"/>
      <c r="BW106" s="373"/>
      <c r="BX106" s="315"/>
      <c r="BY106" s="373"/>
      <c r="BZ106" s="315"/>
      <c r="CA106" s="315"/>
      <c r="CB106" s="353"/>
      <c r="CC106" s="313"/>
      <c r="CD106" s="522"/>
      <c r="CE106" s="526"/>
      <c r="CF106" s="527"/>
      <c r="CG106" s="526"/>
      <c r="CH106" s="527"/>
      <c r="CI106" s="526"/>
      <c r="CJ106" s="527"/>
      <c r="CK106" s="526"/>
      <c r="CL106" s="527"/>
      <c r="CM106" s="526"/>
      <c r="CN106" s="527"/>
      <c r="CO106" s="526"/>
      <c r="CP106" s="527"/>
      <c r="CQ106" s="526"/>
      <c r="CR106" s="527"/>
      <c r="CS106" s="522"/>
      <c r="CT106" s="313"/>
      <c r="CU106" s="313"/>
      <c r="CV106" s="313"/>
      <c r="CW106" s="313"/>
      <c r="CX106" s="313"/>
      <c r="CY106" s="313"/>
      <c r="CZ106" s="313"/>
      <c r="DA106" s="313"/>
      <c r="DB106" s="313"/>
      <c r="DC106" s="313"/>
    </row>
    <row r="107" spans="1:107" s="2" customFormat="1">
      <c r="A107" s="347"/>
      <c r="B107" s="347"/>
      <c r="C107" s="268"/>
      <c r="D107" s="346"/>
      <c r="E107" s="347"/>
      <c r="F107" s="349"/>
      <c r="G107" s="349"/>
      <c r="H107" s="348"/>
      <c r="I107" s="347"/>
      <c r="J107" s="348"/>
      <c r="K107" s="349"/>
      <c r="L107" s="348"/>
      <c r="M107" s="347"/>
      <c r="N107" s="347"/>
      <c r="O107" s="313"/>
      <c r="P107" s="313"/>
      <c r="Q107" s="313"/>
      <c r="R107" s="313"/>
      <c r="S107" s="313"/>
      <c r="T107" s="348"/>
      <c r="U107" s="349"/>
      <c r="V107" s="348"/>
      <c r="W107" s="349"/>
      <c r="X107" s="313"/>
      <c r="Y107" s="313"/>
      <c r="Z107" s="667"/>
      <c r="AA107" s="373"/>
      <c r="AB107" s="667"/>
      <c r="AC107" s="373"/>
      <c r="AD107" s="315"/>
      <c r="AE107" s="315"/>
      <c r="AF107" s="348"/>
      <c r="AG107" s="349"/>
      <c r="AH107" s="348"/>
      <c r="AI107" s="349"/>
      <c r="AJ107" s="313"/>
      <c r="AK107" s="313"/>
      <c r="AL107" s="667"/>
      <c r="AM107" s="373"/>
      <c r="AN107" s="667"/>
      <c r="AO107" s="373"/>
      <c r="AP107" s="315"/>
      <c r="AQ107" s="315"/>
      <c r="AR107" s="348"/>
      <c r="AS107" s="349"/>
      <c r="AT107" s="348"/>
      <c r="AU107" s="349"/>
      <c r="AV107" s="313"/>
      <c r="AW107" s="313"/>
      <c r="AX107" s="667"/>
      <c r="AY107" s="373"/>
      <c r="AZ107" s="667"/>
      <c r="BA107" s="373"/>
      <c r="BB107" s="315"/>
      <c r="BC107" s="315"/>
      <c r="BD107" s="313"/>
      <c r="BE107" s="349"/>
      <c r="BF107" s="348"/>
      <c r="BG107" s="349"/>
      <c r="BH107" s="313"/>
      <c r="BI107" s="313"/>
      <c r="BJ107" s="315"/>
      <c r="BK107" s="373"/>
      <c r="BL107" s="667"/>
      <c r="BM107" s="373"/>
      <c r="BN107" s="315"/>
      <c r="BO107" s="315"/>
      <c r="BP107" s="313"/>
      <c r="BQ107" s="349"/>
      <c r="BR107" s="313"/>
      <c r="BS107" s="349"/>
      <c r="BT107" s="313"/>
      <c r="BU107" s="313"/>
      <c r="BV107" s="315"/>
      <c r="BW107" s="373"/>
      <c r="BX107" s="315"/>
      <c r="BY107" s="373"/>
      <c r="BZ107" s="315"/>
      <c r="CA107" s="315"/>
      <c r="CB107" s="353"/>
      <c r="CC107" s="313"/>
      <c r="CD107" s="522"/>
      <c r="CE107" s="526"/>
      <c r="CF107" s="527"/>
      <c r="CG107" s="526"/>
      <c r="CH107" s="527"/>
      <c r="CI107" s="526"/>
      <c r="CJ107" s="527"/>
      <c r="CK107" s="526"/>
      <c r="CL107" s="527"/>
      <c r="CM107" s="526"/>
      <c r="CN107" s="527"/>
      <c r="CO107" s="526"/>
      <c r="CP107" s="527"/>
      <c r="CQ107" s="526"/>
      <c r="CR107" s="527"/>
      <c r="CS107" s="522"/>
      <c r="CT107" s="313"/>
      <c r="CU107" s="313"/>
      <c r="CV107" s="313"/>
      <c r="CW107" s="313"/>
      <c r="CX107" s="313"/>
      <c r="CY107" s="313"/>
      <c r="CZ107" s="313"/>
      <c r="DA107" s="313"/>
      <c r="DB107" s="313"/>
      <c r="DC107" s="313"/>
    </row>
    <row r="108" spans="1:107" s="2" customFormat="1">
      <c r="A108" s="347"/>
      <c r="B108" s="347"/>
      <c r="C108" s="268"/>
      <c r="D108" s="346"/>
      <c r="E108" s="347"/>
      <c r="F108" s="349"/>
      <c r="G108" s="349"/>
      <c r="H108" s="348"/>
      <c r="I108" s="347"/>
      <c r="J108" s="348"/>
      <c r="K108" s="349"/>
      <c r="L108" s="348"/>
      <c r="M108" s="347"/>
      <c r="N108" s="347"/>
      <c r="O108" s="313"/>
      <c r="P108" s="313"/>
      <c r="Q108" s="313"/>
      <c r="R108" s="313"/>
      <c r="S108" s="313"/>
      <c r="T108" s="348"/>
      <c r="U108" s="349"/>
      <c r="V108" s="348"/>
      <c r="W108" s="349"/>
      <c r="X108" s="313"/>
      <c r="Y108" s="313"/>
      <c r="Z108" s="667"/>
      <c r="AA108" s="373"/>
      <c r="AB108" s="667"/>
      <c r="AC108" s="373"/>
      <c r="AD108" s="315"/>
      <c r="AE108" s="315"/>
      <c r="AF108" s="348"/>
      <c r="AG108" s="349"/>
      <c r="AH108" s="348"/>
      <c r="AI108" s="349"/>
      <c r="AJ108" s="313"/>
      <c r="AK108" s="313"/>
      <c r="AL108" s="667"/>
      <c r="AM108" s="373"/>
      <c r="AN108" s="667"/>
      <c r="AO108" s="373"/>
      <c r="AP108" s="315"/>
      <c r="AQ108" s="315"/>
      <c r="AR108" s="348"/>
      <c r="AS108" s="349"/>
      <c r="AT108" s="348"/>
      <c r="AU108" s="349"/>
      <c r="AV108" s="313"/>
      <c r="AW108" s="313"/>
      <c r="AX108" s="667"/>
      <c r="AY108" s="373"/>
      <c r="AZ108" s="667"/>
      <c r="BA108" s="373"/>
      <c r="BB108" s="315"/>
      <c r="BC108" s="315"/>
      <c r="BD108" s="313"/>
      <c r="BE108" s="349"/>
      <c r="BF108" s="348"/>
      <c r="BG108" s="349"/>
      <c r="BH108" s="313"/>
      <c r="BI108" s="313"/>
      <c r="BJ108" s="315"/>
      <c r="BK108" s="373"/>
      <c r="BL108" s="667"/>
      <c r="BM108" s="373"/>
      <c r="BN108" s="315"/>
      <c r="BO108" s="315"/>
      <c r="BP108" s="313"/>
      <c r="BQ108" s="349"/>
      <c r="BR108" s="313"/>
      <c r="BS108" s="349"/>
      <c r="BT108" s="313"/>
      <c r="BU108" s="313"/>
      <c r="BV108" s="315"/>
      <c r="BW108" s="373"/>
      <c r="BX108" s="315"/>
      <c r="BY108" s="373"/>
      <c r="BZ108" s="315"/>
      <c r="CA108" s="315"/>
      <c r="CB108" s="353"/>
      <c r="CC108" s="313"/>
      <c r="CD108" s="522"/>
      <c r="CE108" s="526"/>
      <c r="CF108" s="527"/>
      <c r="CG108" s="526"/>
      <c r="CH108" s="527"/>
      <c r="CI108" s="526"/>
      <c r="CJ108" s="527"/>
      <c r="CK108" s="526"/>
      <c r="CL108" s="527"/>
      <c r="CM108" s="526"/>
      <c r="CN108" s="527"/>
      <c r="CO108" s="526"/>
      <c r="CP108" s="527"/>
      <c r="CQ108" s="526"/>
      <c r="CR108" s="527"/>
      <c r="CS108" s="522"/>
      <c r="CT108" s="313"/>
      <c r="CU108" s="313"/>
      <c r="CV108" s="313"/>
      <c r="CW108" s="313"/>
      <c r="CX108" s="313"/>
      <c r="CY108" s="313"/>
      <c r="CZ108" s="313"/>
      <c r="DA108" s="313"/>
      <c r="DB108" s="313"/>
      <c r="DC108" s="313"/>
    </row>
    <row r="109" spans="1:107" s="2" customFormat="1">
      <c r="A109" s="347"/>
      <c r="B109" s="347"/>
      <c r="C109" s="268"/>
      <c r="D109" s="346"/>
      <c r="E109" s="347"/>
      <c r="F109" s="349"/>
      <c r="G109" s="349"/>
      <c r="H109" s="348"/>
      <c r="I109" s="347"/>
      <c r="J109" s="348"/>
      <c r="K109" s="349"/>
      <c r="L109" s="348"/>
      <c r="M109" s="347"/>
      <c r="N109" s="347"/>
      <c r="O109" s="313"/>
      <c r="P109" s="313"/>
      <c r="Q109" s="313"/>
      <c r="R109" s="313"/>
      <c r="S109" s="313"/>
      <c r="T109" s="348"/>
      <c r="U109" s="349"/>
      <c r="V109" s="348"/>
      <c r="W109" s="349"/>
      <c r="X109" s="313"/>
      <c r="Y109" s="313"/>
      <c r="Z109" s="667"/>
      <c r="AA109" s="373"/>
      <c r="AB109" s="667"/>
      <c r="AC109" s="373"/>
      <c r="AD109" s="315"/>
      <c r="AE109" s="315"/>
      <c r="AF109" s="348"/>
      <c r="AG109" s="349"/>
      <c r="AH109" s="348"/>
      <c r="AI109" s="349"/>
      <c r="AJ109" s="313"/>
      <c r="AK109" s="313"/>
      <c r="AL109" s="667"/>
      <c r="AM109" s="373"/>
      <c r="AN109" s="667"/>
      <c r="AO109" s="373"/>
      <c r="AP109" s="315"/>
      <c r="AQ109" s="315"/>
      <c r="AR109" s="348"/>
      <c r="AS109" s="349"/>
      <c r="AT109" s="348"/>
      <c r="AU109" s="349"/>
      <c r="AV109" s="313"/>
      <c r="AW109" s="313"/>
      <c r="AX109" s="667"/>
      <c r="AY109" s="373"/>
      <c r="AZ109" s="667"/>
      <c r="BA109" s="373"/>
      <c r="BB109" s="315"/>
      <c r="BC109" s="315"/>
      <c r="BD109" s="313"/>
      <c r="BE109" s="349"/>
      <c r="BF109" s="348"/>
      <c r="BG109" s="349"/>
      <c r="BH109" s="313"/>
      <c r="BI109" s="313"/>
      <c r="BJ109" s="315"/>
      <c r="BK109" s="373"/>
      <c r="BL109" s="667"/>
      <c r="BM109" s="373"/>
      <c r="BN109" s="315"/>
      <c r="BO109" s="315"/>
      <c r="BP109" s="313"/>
      <c r="BQ109" s="349"/>
      <c r="BR109" s="313"/>
      <c r="BS109" s="349"/>
      <c r="BT109" s="313"/>
      <c r="BU109" s="313"/>
      <c r="BV109" s="315"/>
      <c r="BW109" s="373"/>
      <c r="BX109" s="315"/>
      <c r="BY109" s="373"/>
      <c r="BZ109" s="315"/>
      <c r="CA109" s="315"/>
      <c r="CB109" s="353"/>
      <c r="CC109" s="313"/>
      <c r="CD109" s="522"/>
      <c r="CE109" s="526"/>
      <c r="CF109" s="527"/>
      <c r="CG109" s="526"/>
      <c r="CH109" s="527"/>
      <c r="CI109" s="526"/>
      <c r="CJ109" s="527"/>
      <c r="CK109" s="526"/>
      <c r="CL109" s="527"/>
      <c r="CM109" s="526"/>
      <c r="CN109" s="527"/>
      <c r="CO109" s="526"/>
      <c r="CP109" s="527"/>
      <c r="CQ109" s="526"/>
      <c r="CR109" s="527"/>
      <c r="CS109" s="522"/>
      <c r="CT109" s="313"/>
      <c r="CU109" s="313"/>
      <c r="CV109" s="313"/>
      <c r="CW109" s="313"/>
      <c r="CX109" s="313"/>
      <c r="CY109" s="313"/>
      <c r="CZ109" s="313"/>
      <c r="DA109" s="313"/>
      <c r="DB109" s="313"/>
      <c r="DC109" s="313"/>
    </row>
    <row r="110" spans="1:107" s="2" customFormat="1">
      <c r="A110" s="347"/>
      <c r="B110" s="347"/>
      <c r="C110" s="268"/>
      <c r="D110" s="346"/>
      <c r="E110" s="347"/>
      <c r="F110" s="349"/>
      <c r="G110" s="349"/>
      <c r="H110" s="348"/>
      <c r="I110" s="347"/>
      <c r="J110" s="348"/>
      <c r="K110" s="349"/>
      <c r="L110" s="348"/>
      <c r="M110" s="347"/>
      <c r="N110" s="347"/>
      <c r="O110" s="313"/>
      <c r="P110" s="313"/>
      <c r="Q110" s="313"/>
      <c r="R110" s="313"/>
      <c r="S110" s="313"/>
      <c r="T110" s="348"/>
      <c r="U110" s="349"/>
      <c r="V110" s="348"/>
      <c r="W110" s="349"/>
      <c r="X110" s="313"/>
      <c r="Y110" s="313"/>
      <c r="Z110" s="667"/>
      <c r="AA110" s="373"/>
      <c r="AB110" s="667"/>
      <c r="AC110" s="373"/>
      <c r="AD110" s="315"/>
      <c r="AE110" s="315"/>
      <c r="AF110" s="348"/>
      <c r="AG110" s="349"/>
      <c r="AH110" s="348"/>
      <c r="AI110" s="349"/>
      <c r="AJ110" s="313"/>
      <c r="AK110" s="313"/>
      <c r="AL110" s="667"/>
      <c r="AM110" s="373"/>
      <c r="AN110" s="667"/>
      <c r="AO110" s="373"/>
      <c r="AP110" s="315"/>
      <c r="AQ110" s="315"/>
      <c r="AR110" s="348"/>
      <c r="AS110" s="349"/>
      <c r="AT110" s="348"/>
      <c r="AU110" s="349"/>
      <c r="AV110" s="313"/>
      <c r="AW110" s="313"/>
      <c r="AX110" s="667"/>
      <c r="AY110" s="373"/>
      <c r="AZ110" s="667"/>
      <c r="BA110" s="373"/>
      <c r="BB110" s="315"/>
      <c r="BC110" s="315"/>
      <c r="BD110" s="313"/>
      <c r="BE110" s="349"/>
      <c r="BF110" s="348"/>
      <c r="BG110" s="349"/>
      <c r="BH110" s="313"/>
      <c r="BI110" s="313"/>
      <c r="BJ110" s="315"/>
      <c r="BK110" s="373"/>
      <c r="BL110" s="667"/>
      <c r="BM110" s="373"/>
      <c r="BN110" s="315"/>
      <c r="BO110" s="315"/>
      <c r="BP110" s="313"/>
      <c r="BQ110" s="349"/>
      <c r="BR110" s="313"/>
      <c r="BS110" s="349"/>
      <c r="BT110" s="313"/>
      <c r="BU110" s="313"/>
      <c r="BV110" s="315"/>
      <c r="BW110" s="373"/>
      <c r="BX110" s="315"/>
      <c r="BY110" s="373"/>
      <c r="BZ110" s="315"/>
      <c r="CA110" s="315"/>
      <c r="CB110" s="353"/>
      <c r="CC110" s="313"/>
      <c r="CD110" s="522"/>
      <c r="CE110" s="526"/>
      <c r="CF110" s="527"/>
      <c r="CG110" s="526"/>
      <c r="CH110" s="527"/>
      <c r="CI110" s="526"/>
      <c r="CJ110" s="527"/>
      <c r="CK110" s="526"/>
      <c r="CL110" s="527"/>
      <c r="CM110" s="526"/>
      <c r="CN110" s="527"/>
      <c r="CO110" s="526"/>
      <c r="CP110" s="527"/>
      <c r="CQ110" s="526"/>
      <c r="CR110" s="527"/>
      <c r="CS110" s="522"/>
      <c r="CT110" s="313"/>
      <c r="CU110" s="313"/>
      <c r="CV110" s="313"/>
      <c r="CW110" s="313"/>
      <c r="CX110" s="313"/>
      <c r="CY110" s="313"/>
      <c r="CZ110" s="313"/>
      <c r="DA110" s="313"/>
      <c r="DB110" s="313"/>
      <c r="DC110" s="313"/>
    </row>
    <row r="111" spans="1:107" s="2" customFormat="1">
      <c r="A111" s="347"/>
      <c r="B111" s="347"/>
      <c r="C111" s="268"/>
      <c r="D111" s="346"/>
      <c r="E111" s="347"/>
      <c r="F111" s="349"/>
      <c r="G111" s="349"/>
      <c r="H111" s="348"/>
      <c r="I111" s="347"/>
      <c r="J111" s="348"/>
      <c r="K111" s="349"/>
      <c r="L111" s="348"/>
      <c r="M111" s="347"/>
      <c r="N111" s="347"/>
      <c r="O111" s="313"/>
      <c r="P111" s="313"/>
      <c r="Q111" s="313"/>
      <c r="R111" s="313"/>
      <c r="S111" s="313"/>
      <c r="T111" s="348"/>
      <c r="U111" s="349"/>
      <c r="V111" s="348"/>
      <c r="W111" s="349"/>
      <c r="X111" s="313"/>
      <c r="Y111" s="313"/>
      <c r="Z111" s="667"/>
      <c r="AA111" s="373"/>
      <c r="AB111" s="667"/>
      <c r="AC111" s="373"/>
      <c r="AD111" s="315"/>
      <c r="AE111" s="315"/>
      <c r="AF111" s="348"/>
      <c r="AG111" s="349"/>
      <c r="AH111" s="348"/>
      <c r="AI111" s="349"/>
      <c r="AJ111" s="313"/>
      <c r="AK111" s="313"/>
      <c r="AL111" s="667"/>
      <c r="AM111" s="373"/>
      <c r="AN111" s="667"/>
      <c r="AO111" s="373"/>
      <c r="AP111" s="315"/>
      <c r="AQ111" s="315"/>
      <c r="AR111" s="348"/>
      <c r="AS111" s="349"/>
      <c r="AT111" s="348"/>
      <c r="AU111" s="349"/>
      <c r="AV111" s="313"/>
      <c r="AW111" s="313"/>
      <c r="AX111" s="667"/>
      <c r="AY111" s="373"/>
      <c r="AZ111" s="667"/>
      <c r="BA111" s="373"/>
      <c r="BB111" s="315"/>
      <c r="BC111" s="315"/>
      <c r="BD111" s="313"/>
      <c r="BE111" s="349"/>
      <c r="BF111" s="348"/>
      <c r="BG111" s="349"/>
      <c r="BH111" s="313"/>
      <c r="BI111" s="313"/>
      <c r="BJ111" s="315"/>
      <c r="BK111" s="373"/>
      <c r="BL111" s="667"/>
      <c r="BM111" s="373"/>
      <c r="BN111" s="315"/>
      <c r="BO111" s="315"/>
      <c r="BP111" s="313"/>
      <c r="BQ111" s="349"/>
      <c r="BR111" s="313"/>
      <c r="BS111" s="349"/>
      <c r="BT111" s="313"/>
      <c r="BU111" s="313"/>
      <c r="BV111" s="315"/>
      <c r="BW111" s="373"/>
      <c r="BX111" s="315"/>
      <c r="BY111" s="373"/>
      <c r="BZ111" s="315"/>
      <c r="CA111" s="315"/>
      <c r="CB111" s="353"/>
      <c r="CC111" s="313"/>
      <c r="CD111" s="522"/>
      <c r="CE111" s="526"/>
      <c r="CF111" s="527"/>
      <c r="CG111" s="526"/>
      <c r="CH111" s="527"/>
      <c r="CI111" s="526"/>
      <c r="CJ111" s="527"/>
      <c r="CK111" s="526"/>
      <c r="CL111" s="527"/>
      <c r="CM111" s="526"/>
      <c r="CN111" s="527"/>
      <c r="CO111" s="526"/>
      <c r="CP111" s="527"/>
      <c r="CQ111" s="526"/>
      <c r="CR111" s="527"/>
      <c r="CS111" s="522"/>
      <c r="CT111" s="313"/>
      <c r="CU111" s="313"/>
      <c r="CV111" s="313"/>
      <c r="CW111" s="313"/>
      <c r="CX111" s="313"/>
      <c r="CY111" s="313"/>
      <c r="CZ111" s="313"/>
      <c r="DA111" s="313"/>
      <c r="DB111" s="313"/>
      <c r="DC111" s="313"/>
    </row>
    <row r="112" spans="1:107" s="2" customFormat="1">
      <c r="A112" s="347"/>
      <c r="B112" s="347"/>
      <c r="C112" s="268"/>
      <c r="D112" s="346"/>
      <c r="E112" s="347"/>
      <c r="F112" s="349"/>
      <c r="G112" s="349"/>
      <c r="H112" s="348"/>
      <c r="I112" s="347"/>
      <c r="J112" s="348"/>
      <c r="K112" s="349"/>
      <c r="L112" s="348"/>
      <c r="M112" s="347"/>
      <c r="N112" s="347"/>
      <c r="O112" s="313"/>
      <c r="P112" s="313"/>
      <c r="Q112" s="313"/>
      <c r="R112" s="313"/>
      <c r="S112" s="313"/>
      <c r="T112" s="348"/>
      <c r="U112" s="349"/>
      <c r="V112" s="348"/>
      <c r="W112" s="349"/>
      <c r="X112" s="313"/>
      <c r="Y112" s="313"/>
      <c r="Z112" s="667"/>
      <c r="AA112" s="373"/>
      <c r="AB112" s="667"/>
      <c r="AC112" s="373"/>
      <c r="AD112" s="315"/>
      <c r="AE112" s="315"/>
      <c r="AF112" s="348"/>
      <c r="AG112" s="349"/>
      <c r="AH112" s="348"/>
      <c r="AI112" s="349"/>
      <c r="AJ112" s="313"/>
      <c r="AK112" s="313"/>
      <c r="AL112" s="667"/>
      <c r="AM112" s="373"/>
      <c r="AN112" s="667"/>
      <c r="AO112" s="373"/>
      <c r="AP112" s="315"/>
      <c r="AQ112" s="315"/>
      <c r="AR112" s="348"/>
      <c r="AS112" s="349"/>
      <c r="AT112" s="348"/>
      <c r="AU112" s="349"/>
      <c r="AV112" s="313"/>
      <c r="AW112" s="313"/>
      <c r="AX112" s="667"/>
      <c r="AY112" s="373"/>
      <c r="AZ112" s="667"/>
      <c r="BA112" s="373"/>
      <c r="BB112" s="315"/>
      <c r="BC112" s="315"/>
      <c r="BD112" s="313"/>
      <c r="BE112" s="349"/>
      <c r="BF112" s="348"/>
      <c r="BG112" s="349"/>
      <c r="BH112" s="313"/>
      <c r="BI112" s="313"/>
      <c r="BJ112" s="315"/>
      <c r="BK112" s="373"/>
      <c r="BL112" s="667"/>
      <c r="BM112" s="373"/>
      <c r="BN112" s="315"/>
      <c r="BO112" s="315"/>
      <c r="BP112" s="313"/>
      <c r="BQ112" s="349"/>
      <c r="BR112" s="313"/>
      <c r="BS112" s="349"/>
      <c r="BT112" s="313"/>
      <c r="BU112" s="313"/>
      <c r="BV112" s="315"/>
      <c r="BW112" s="373"/>
      <c r="BX112" s="315"/>
      <c r="BY112" s="373"/>
      <c r="BZ112" s="315"/>
      <c r="CA112" s="315"/>
      <c r="CB112" s="353"/>
      <c r="CC112" s="313"/>
      <c r="CD112" s="522"/>
      <c r="CE112" s="526"/>
      <c r="CF112" s="527"/>
      <c r="CG112" s="526"/>
      <c r="CH112" s="527"/>
      <c r="CI112" s="526"/>
      <c r="CJ112" s="527"/>
      <c r="CK112" s="526"/>
      <c r="CL112" s="527"/>
      <c r="CM112" s="526"/>
      <c r="CN112" s="527"/>
      <c r="CO112" s="526"/>
      <c r="CP112" s="527"/>
      <c r="CQ112" s="526"/>
      <c r="CR112" s="527"/>
      <c r="CS112" s="522"/>
      <c r="CT112" s="313"/>
      <c r="CU112" s="313"/>
      <c r="CV112" s="313"/>
      <c r="CW112" s="313"/>
      <c r="CX112" s="313"/>
      <c r="CY112" s="313"/>
      <c r="CZ112" s="313"/>
      <c r="DA112" s="313"/>
      <c r="DB112" s="313"/>
      <c r="DC112" s="313"/>
    </row>
    <row r="113" spans="1:107" s="2" customFormat="1">
      <c r="A113" s="347"/>
      <c r="B113" s="347"/>
      <c r="C113" s="268"/>
      <c r="D113" s="346"/>
      <c r="E113" s="347"/>
      <c r="F113" s="349"/>
      <c r="G113" s="349"/>
      <c r="H113" s="348"/>
      <c r="I113" s="347"/>
      <c r="J113" s="348"/>
      <c r="K113" s="349"/>
      <c r="L113" s="348"/>
      <c r="M113" s="347"/>
      <c r="N113" s="347"/>
      <c r="O113" s="313"/>
      <c r="P113" s="313"/>
      <c r="Q113" s="313"/>
      <c r="R113" s="313"/>
      <c r="S113" s="313"/>
      <c r="T113" s="348"/>
      <c r="U113" s="349"/>
      <c r="V113" s="348"/>
      <c r="W113" s="349"/>
      <c r="X113" s="313"/>
      <c r="Y113" s="313"/>
      <c r="Z113" s="667"/>
      <c r="AA113" s="373"/>
      <c r="AB113" s="667"/>
      <c r="AC113" s="373"/>
      <c r="AD113" s="315"/>
      <c r="AE113" s="315"/>
      <c r="AF113" s="348"/>
      <c r="AG113" s="349"/>
      <c r="AH113" s="348"/>
      <c r="AI113" s="349"/>
      <c r="AJ113" s="313"/>
      <c r="AK113" s="313"/>
      <c r="AL113" s="667"/>
      <c r="AM113" s="373"/>
      <c r="AN113" s="667"/>
      <c r="AO113" s="373"/>
      <c r="AP113" s="315"/>
      <c r="AQ113" s="315"/>
      <c r="AR113" s="348"/>
      <c r="AS113" s="349"/>
      <c r="AT113" s="348"/>
      <c r="AU113" s="349"/>
      <c r="AV113" s="313"/>
      <c r="AW113" s="313"/>
      <c r="AX113" s="667"/>
      <c r="AY113" s="373"/>
      <c r="AZ113" s="667"/>
      <c r="BA113" s="373"/>
      <c r="BB113" s="315"/>
      <c r="BC113" s="315"/>
      <c r="BD113" s="313"/>
      <c r="BE113" s="349"/>
      <c r="BF113" s="348"/>
      <c r="BG113" s="349"/>
      <c r="BH113" s="313"/>
      <c r="BI113" s="313"/>
      <c r="BJ113" s="315"/>
      <c r="BK113" s="373"/>
      <c r="BL113" s="667"/>
      <c r="BM113" s="373"/>
      <c r="BN113" s="315"/>
      <c r="BO113" s="315"/>
      <c r="BP113" s="313"/>
      <c r="BQ113" s="349"/>
      <c r="BR113" s="313"/>
      <c r="BS113" s="349"/>
      <c r="BT113" s="313"/>
      <c r="BU113" s="313"/>
      <c r="BV113" s="315"/>
      <c r="BW113" s="373"/>
      <c r="BX113" s="315"/>
      <c r="BY113" s="373"/>
      <c r="BZ113" s="315"/>
      <c r="CA113" s="315"/>
      <c r="CB113" s="353"/>
      <c r="CC113" s="313"/>
      <c r="CD113" s="522"/>
      <c r="CE113" s="526"/>
      <c r="CF113" s="527"/>
      <c r="CG113" s="526"/>
      <c r="CH113" s="527"/>
      <c r="CI113" s="526"/>
      <c r="CJ113" s="527"/>
      <c r="CK113" s="526"/>
      <c r="CL113" s="527"/>
      <c r="CM113" s="526"/>
      <c r="CN113" s="527"/>
      <c r="CO113" s="526"/>
      <c r="CP113" s="527"/>
      <c r="CQ113" s="526"/>
      <c r="CR113" s="527"/>
      <c r="CS113" s="522"/>
      <c r="CT113" s="313"/>
      <c r="CU113" s="313"/>
      <c r="CV113" s="313"/>
      <c r="CW113" s="313"/>
      <c r="CX113" s="313"/>
      <c r="CY113" s="313"/>
      <c r="CZ113" s="313"/>
      <c r="DA113" s="313"/>
      <c r="DB113" s="313"/>
      <c r="DC113" s="313"/>
    </row>
    <row r="114" spans="1:107" s="2" customFormat="1">
      <c r="A114" s="347"/>
      <c r="B114" s="347"/>
      <c r="C114" s="268"/>
      <c r="D114" s="346"/>
      <c r="E114" s="347"/>
      <c r="F114" s="349"/>
      <c r="G114" s="349"/>
      <c r="H114" s="348"/>
      <c r="I114" s="347"/>
      <c r="J114" s="348"/>
      <c r="K114" s="349"/>
      <c r="L114" s="348"/>
      <c r="M114" s="347"/>
      <c r="N114" s="347"/>
      <c r="O114" s="313"/>
      <c r="P114" s="313"/>
      <c r="Q114" s="313"/>
      <c r="R114" s="313"/>
      <c r="S114" s="313"/>
      <c r="T114" s="348"/>
      <c r="U114" s="349"/>
      <c r="V114" s="348"/>
      <c r="W114" s="349"/>
      <c r="X114" s="313"/>
      <c r="Y114" s="313"/>
      <c r="Z114" s="667"/>
      <c r="AA114" s="373"/>
      <c r="AB114" s="667"/>
      <c r="AC114" s="373"/>
      <c r="AD114" s="315"/>
      <c r="AE114" s="315"/>
      <c r="AF114" s="348"/>
      <c r="AG114" s="349"/>
      <c r="AH114" s="348"/>
      <c r="AI114" s="349"/>
      <c r="AJ114" s="313"/>
      <c r="AK114" s="313"/>
      <c r="AL114" s="667"/>
      <c r="AM114" s="373"/>
      <c r="AN114" s="667"/>
      <c r="AO114" s="373"/>
      <c r="AP114" s="315"/>
      <c r="AQ114" s="315"/>
      <c r="AR114" s="348"/>
      <c r="AS114" s="349"/>
      <c r="AT114" s="348"/>
      <c r="AU114" s="349"/>
      <c r="AV114" s="313"/>
      <c r="AW114" s="313"/>
      <c r="AX114" s="667"/>
      <c r="AY114" s="373"/>
      <c r="AZ114" s="667"/>
      <c r="BA114" s="373"/>
      <c r="BB114" s="315"/>
      <c r="BC114" s="315"/>
      <c r="BD114" s="313"/>
      <c r="BE114" s="349"/>
      <c r="BF114" s="348"/>
      <c r="BG114" s="349"/>
      <c r="BH114" s="313"/>
      <c r="BI114" s="313"/>
      <c r="BJ114" s="315"/>
      <c r="BK114" s="373"/>
      <c r="BL114" s="667"/>
      <c r="BM114" s="373"/>
      <c r="BN114" s="315"/>
      <c r="BO114" s="315"/>
      <c r="BP114" s="313"/>
      <c r="BQ114" s="349"/>
      <c r="BR114" s="313"/>
      <c r="BS114" s="349"/>
      <c r="BT114" s="313"/>
      <c r="BU114" s="313"/>
      <c r="BV114" s="315"/>
      <c r="BW114" s="373"/>
      <c r="BX114" s="315"/>
      <c r="BY114" s="373"/>
      <c r="BZ114" s="315"/>
      <c r="CA114" s="315"/>
      <c r="CB114" s="353"/>
      <c r="CC114" s="313"/>
      <c r="CD114" s="522"/>
      <c r="CE114" s="526"/>
      <c r="CF114" s="527"/>
      <c r="CG114" s="526"/>
      <c r="CH114" s="527"/>
      <c r="CI114" s="526"/>
      <c r="CJ114" s="527"/>
      <c r="CK114" s="526"/>
      <c r="CL114" s="527"/>
      <c r="CM114" s="526"/>
      <c r="CN114" s="527"/>
      <c r="CO114" s="526"/>
      <c r="CP114" s="527"/>
      <c r="CQ114" s="526"/>
      <c r="CR114" s="527"/>
      <c r="CS114" s="522"/>
      <c r="CT114" s="313"/>
      <c r="CU114" s="313"/>
      <c r="CV114" s="313"/>
      <c r="CW114" s="313"/>
      <c r="CX114" s="313"/>
      <c r="CY114" s="313"/>
      <c r="CZ114" s="313"/>
      <c r="DA114" s="313"/>
      <c r="DB114" s="313"/>
      <c r="DC114" s="313"/>
    </row>
    <row r="115" spans="1:107" s="2" customFormat="1">
      <c r="A115" s="347"/>
      <c r="B115" s="347"/>
      <c r="C115" s="268"/>
      <c r="D115" s="346"/>
      <c r="E115" s="347"/>
      <c r="F115" s="349"/>
      <c r="G115" s="349"/>
      <c r="H115" s="348"/>
      <c r="I115" s="347"/>
      <c r="J115" s="348"/>
      <c r="K115" s="349"/>
      <c r="L115" s="348"/>
      <c r="M115" s="347"/>
      <c r="N115" s="347"/>
      <c r="O115" s="313"/>
      <c r="P115" s="313"/>
      <c r="Q115" s="313"/>
      <c r="R115" s="313"/>
      <c r="S115" s="313"/>
      <c r="T115" s="348"/>
      <c r="U115" s="349"/>
      <c r="V115" s="348"/>
      <c r="W115" s="349"/>
      <c r="X115" s="313"/>
      <c r="Y115" s="313"/>
      <c r="Z115" s="667"/>
      <c r="AA115" s="373"/>
      <c r="AB115" s="667"/>
      <c r="AC115" s="373"/>
      <c r="AD115" s="315"/>
      <c r="AE115" s="315"/>
      <c r="AF115" s="348"/>
      <c r="AG115" s="349"/>
      <c r="AH115" s="348"/>
      <c r="AI115" s="349"/>
      <c r="AJ115" s="313"/>
      <c r="AK115" s="313"/>
      <c r="AL115" s="667"/>
      <c r="AM115" s="373"/>
      <c r="AN115" s="667"/>
      <c r="AO115" s="373"/>
      <c r="AP115" s="315"/>
      <c r="AQ115" s="315"/>
      <c r="AR115" s="348"/>
      <c r="AS115" s="349"/>
      <c r="AT115" s="348"/>
      <c r="AU115" s="349"/>
      <c r="AV115" s="313"/>
      <c r="AW115" s="313"/>
      <c r="AX115" s="667"/>
      <c r="AY115" s="373"/>
      <c r="AZ115" s="667"/>
      <c r="BA115" s="373"/>
      <c r="BB115" s="315"/>
      <c r="BC115" s="315"/>
      <c r="BD115" s="313"/>
      <c r="BE115" s="349"/>
      <c r="BF115" s="348"/>
      <c r="BG115" s="349"/>
      <c r="BH115" s="313"/>
      <c r="BI115" s="313"/>
      <c r="BJ115" s="315"/>
      <c r="BK115" s="373"/>
      <c r="BL115" s="667"/>
      <c r="BM115" s="373"/>
      <c r="BN115" s="315"/>
      <c r="BO115" s="315"/>
      <c r="BP115" s="313"/>
      <c r="BQ115" s="349"/>
      <c r="BR115" s="313"/>
      <c r="BS115" s="349"/>
      <c r="BT115" s="313"/>
      <c r="BU115" s="313"/>
      <c r="BV115" s="315"/>
      <c r="BW115" s="373"/>
      <c r="BX115" s="315"/>
      <c r="BY115" s="373"/>
      <c r="BZ115" s="315"/>
      <c r="CA115" s="315"/>
      <c r="CB115" s="353"/>
      <c r="CC115" s="313"/>
      <c r="CD115" s="522"/>
      <c r="CE115" s="526"/>
      <c r="CF115" s="527"/>
      <c r="CG115" s="526"/>
      <c r="CH115" s="527"/>
      <c r="CI115" s="526"/>
      <c r="CJ115" s="527"/>
      <c r="CK115" s="526"/>
      <c r="CL115" s="527"/>
      <c r="CM115" s="526"/>
      <c r="CN115" s="527"/>
      <c r="CO115" s="526"/>
      <c r="CP115" s="527"/>
      <c r="CQ115" s="526"/>
      <c r="CR115" s="527"/>
      <c r="CS115" s="522"/>
      <c r="CT115" s="313"/>
      <c r="CU115" s="313"/>
      <c r="CV115" s="313"/>
      <c r="CW115" s="313"/>
      <c r="CX115" s="313"/>
      <c r="CY115" s="313"/>
      <c r="CZ115" s="313"/>
      <c r="DA115" s="313"/>
      <c r="DB115" s="313"/>
      <c r="DC115" s="313"/>
    </row>
    <row r="116" spans="1:107" s="2" customFormat="1">
      <c r="A116" s="347"/>
      <c r="B116" s="347"/>
      <c r="C116" s="268"/>
      <c r="D116" s="346"/>
      <c r="E116" s="347"/>
      <c r="F116" s="349"/>
      <c r="G116" s="349"/>
      <c r="H116" s="348"/>
      <c r="I116" s="347"/>
      <c r="J116" s="348"/>
      <c r="K116" s="349"/>
      <c r="L116" s="348"/>
      <c r="M116" s="347"/>
      <c r="N116" s="347"/>
      <c r="O116" s="313"/>
      <c r="P116" s="313"/>
      <c r="Q116" s="313"/>
      <c r="R116" s="313"/>
      <c r="S116" s="313"/>
      <c r="T116" s="348"/>
      <c r="U116" s="349"/>
      <c r="V116" s="348"/>
      <c r="W116" s="349"/>
      <c r="X116" s="313"/>
      <c r="Y116" s="313"/>
      <c r="Z116" s="667"/>
      <c r="AA116" s="373"/>
      <c r="AB116" s="667"/>
      <c r="AC116" s="373"/>
      <c r="AD116" s="315"/>
      <c r="AE116" s="315"/>
      <c r="AF116" s="348"/>
      <c r="AG116" s="349"/>
      <c r="AH116" s="348"/>
      <c r="AI116" s="349"/>
      <c r="AJ116" s="313"/>
      <c r="AK116" s="313"/>
      <c r="AL116" s="667"/>
      <c r="AM116" s="373"/>
      <c r="AN116" s="667"/>
      <c r="AO116" s="373"/>
      <c r="AP116" s="315"/>
      <c r="AQ116" s="315"/>
      <c r="AR116" s="348"/>
      <c r="AS116" s="349"/>
      <c r="AT116" s="348"/>
      <c r="AU116" s="349"/>
      <c r="AV116" s="313"/>
      <c r="AW116" s="313"/>
      <c r="AX116" s="667"/>
      <c r="AY116" s="373"/>
      <c r="AZ116" s="667"/>
      <c r="BA116" s="373"/>
      <c r="BB116" s="315"/>
      <c r="BC116" s="315"/>
      <c r="BD116" s="313"/>
      <c r="BE116" s="349"/>
      <c r="BF116" s="348"/>
      <c r="BG116" s="349"/>
      <c r="BH116" s="313"/>
      <c r="BI116" s="313"/>
      <c r="BJ116" s="315"/>
      <c r="BK116" s="373"/>
      <c r="BL116" s="667"/>
      <c r="BM116" s="373"/>
      <c r="BN116" s="315"/>
      <c r="BO116" s="315"/>
      <c r="BP116" s="313"/>
      <c r="BQ116" s="349"/>
      <c r="BR116" s="313"/>
      <c r="BS116" s="349"/>
      <c r="BT116" s="313"/>
      <c r="BU116" s="313"/>
      <c r="BV116" s="315"/>
      <c r="BW116" s="373"/>
      <c r="BX116" s="315"/>
      <c r="BY116" s="373"/>
      <c r="BZ116" s="315"/>
      <c r="CA116" s="315"/>
      <c r="CB116" s="353"/>
      <c r="CC116" s="313"/>
      <c r="CD116" s="522"/>
      <c r="CE116" s="526"/>
      <c r="CF116" s="527"/>
      <c r="CG116" s="526"/>
      <c r="CH116" s="527"/>
      <c r="CI116" s="526"/>
      <c r="CJ116" s="527"/>
      <c r="CK116" s="526"/>
      <c r="CL116" s="527"/>
      <c r="CM116" s="526"/>
      <c r="CN116" s="527"/>
      <c r="CO116" s="526"/>
      <c r="CP116" s="527"/>
      <c r="CQ116" s="526"/>
      <c r="CR116" s="527"/>
      <c r="CS116" s="522"/>
      <c r="CT116" s="313"/>
      <c r="CU116" s="313"/>
      <c r="CV116" s="313"/>
      <c r="CW116" s="313"/>
      <c r="CX116" s="313"/>
      <c r="CY116" s="313"/>
      <c r="CZ116" s="313"/>
      <c r="DA116" s="313"/>
      <c r="DB116" s="313"/>
      <c r="DC116" s="313"/>
    </row>
    <row r="117" spans="1:107" s="2" customFormat="1">
      <c r="A117" s="347"/>
      <c r="B117" s="347"/>
      <c r="C117" s="268"/>
      <c r="D117" s="346"/>
      <c r="E117" s="347"/>
      <c r="F117" s="349"/>
      <c r="G117" s="349"/>
      <c r="H117" s="348"/>
      <c r="I117" s="347"/>
      <c r="J117" s="348"/>
      <c r="K117" s="349"/>
      <c r="L117" s="348"/>
      <c r="M117" s="347"/>
      <c r="N117" s="347"/>
      <c r="O117" s="313"/>
      <c r="P117" s="313"/>
      <c r="Q117" s="313"/>
      <c r="R117" s="313"/>
      <c r="S117" s="313"/>
      <c r="T117" s="348"/>
      <c r="U117" s="349"/>
      <c r="V117" s="348"/>
      <c r="W117" s="349"/>
      <c r="X117" s="313"/>
      <c r="Y117" s="313"/>
      <c r="Z117" s="667"/>
      <c r="AA117" s="373"/>
      <c r="AB117" s="667"/>
      <c r="AC117" s="373"/>
      <c r="AD117" s="315"/>
      <c r="AE117" s="315"/>
      <c r="AF117" s="348"/>
      <c r="AG117" s="349"/>
      <c r="AH117" s="348"/>
      <c r="AI117" s="349"/>
      <c r="AJ117" s="313"/>
      <c r="AK117" s="313"/>
      <c r="AL117" s="667"/>
      <c r="AM117" s="373"/>
      <c r="AN117" s="667"/>
      <c r="AO117" s="373"/>
      <c r="AP117" s="315"/>
      <c r="AQ117" s="315"/>
      <c r="AR117" s="348"/>
      <c r="AS117" s="349"/>
      <c r="AT117" s="348"/>
      <c r="AU117" s="349"/>
      <c r="AV117" s="313"/>
      <c r="AW117" s="313"/>
      <c r="AX117" s="667"/>
      <c r="AY117" s="373"/>
      <c r="AZ117" s="667"/>
      <c r="BA117" s="373"/>
      <c r="BB117" s="315"/>
      <c r="BC117" s="315"/>
      <c r="BD117" s="313"/>
      <c r="BE117" s="349"/>
      <c r="BF117" s="348"/>
      <c r="BG117" s="349"/>
      <c r="BH117" s="313"/>
      <c r="BI117" s="313"/>
      <c r="BJ117" s="315"/>
      <c r="BK117" s="373"/>
      <c r="BL117" s="667"/>
      <c r="BM117" s="373"/>
      <c r="BN117" s="315"/>
      <c r="BO117" s="315"/>
      <c r="BP117" s="313"/>
      <c r="BQ117" s="349"/>
      <c r="BR117" s="313"/>
      <c r="BS117" s="349"/>
      <c r="BT117" s="313"/>
      <c r="BU117" s="313"/>
      <c r="BV117" s="315"/>
      <c r="BW117" s="373"/>
      <c r="BX117" s="315"/>
      <c r="BY117" s="373"/>
      <c r="BZ117" s="315"/>
      <c r="CA117" s="315"/>
      <c r="CB117" s="353"/>
      <c r="CC117" s="313"/>
      <c r="CD117" s="522"/>
      <c r="CE117" s="526"/>
      <c r="CF117" s="527"/>
      <c r="CG117" s="526"/>
      <c r="CH117" s="527"/>
      <c r="CI117" s="526"/>
      <c r="CJ117" s="527"/>
      <c r="CK117" s="526"/>
      <c r="CL117" s="527"/>
      <c r="CM117" s="526"/>
      <c r="CN117" s="527"/>
      <c r="CO117" s="526"/>
      <c r="CP117" s="527"/>
      <c r="CQ117" s="526"/>
      <c r="CR117" s="527"/>
      <c r="CS117" s="522"/>
      <c r="CT117" s="313"/>
      <c r="CU117" s="313"/>
      <c r="CV117" s="313"/>
      <c r="CW117" s="313"/>
      <c r="CX117" s="313"/>
      <c r="CY117" s="313"/>
      <c r="CZ117" s="313"/>
      <c r="DA117" s="313"/>
      <c r="DB117" s="313"/>
      <c r="DC117" s="313"/>
    </row>
    <row r="118" spans="1:107" s="2" customFormat="1">
      <c r="A118" s="347"/>
      <c r="B118" s="347"/>
      <c r="C118" s="268"/>
      <c r="D118" s="346"/>
      <c r="E118" s="347"/>
      <c r="F118" s="349"/>
      <c r="G118" s="349"/>
      <c r="H118" s="348"/>
      <c r="I118" s="347"/>
      <c r="J118" s="348"/>
      <c r="K118" s="349"/>
      <c r="L118" s="348"/>
      <c r="M118" s="347"/>
      <c r="N118" s="347"/>
      <c r="O118" s="313"/>
      <c r="P118" s="313"/>
      <c r="Q118" s="313"/>
      <c r="R118" s="313"/>
      <c r="S118" s="313"/>
      <c r="T118" s="348"/>
      <c r="U118" s="349"/>
      <c r="V118" s="348"/>
      <c r="W118" s="349"/>
      <c r="X118" s="313"/>
      <c r="Y118" s="313"/>
      <c r="Z118" s="667"/>
      <c r="AA118" s="373"/>
      <c r="AB118" s="667"/>
      <c r="AC118" s="373"/>
      <c r="AD118" s="315"/>
      <c r="AE118" s="315"/>
      <c r="AF118" s="348"/>
      <c r="AG118" s="349"/>
      <c r="AH118" s="348"/>
      <c r="AI118" s="349"/>
      <c r="AJ118" s="313"/>
      <c r="AK118" s="313"/>
      <c r="AL118" s="667"/>
      <c r="AM118" s="373"/>
      <c r="AN118" s="667"/>
      <c r="AO118" s="373"/>
      <c r="AP118" s="315"/>
      <c r="AQ118" s="315"/>
      <c r="AR118" s="348"/>
      <c r="AS118" s="349"/>
      <c r="AT118" s="348"/>
      <c r="AU118" s="349"/>
      <c r="AV118" s="313"/>
      <c r="AW118" s="313"/>
      <c r="AX118" s="667"/>
      <c r="AY118" s="373"/>
      <c r="AZ118" s="667"/>
      <c r="BA118" s="373"/>
      <c r="BB118" s="315"/>
      <c r="BC118" s="315"/>
      <c r="BD118" s="313"/>
      <c r="BE118" s="349"/>
      <c r="BF118" s="348"/>
      <c r="BG118" s="349"/>
      <c r="BH118" s="313"/>
      <c r="BI118" s="313"/>
      <c r="BJ118" s="315"/>
      <c r="BK118" s="373"/>
      <c r="BL118" s="667"/>
      <c r="BM118" s="373"/>
      <c r="BN118" s="315"/>
      <c r="BO118" s="315"/>
      <c r="BP118" s="313"/>
      <c r="BQ118" s="349"/>
      <c r="BR118" s="313"/>
      <c r="BS118" s="349"/>
      <c r="BT118" s="313"/>
      <c r="BU118" s="313"/>
      <c r="BV118" s="315"/>
      <c r="BW118" s="373"/>
      <c r="BX118" s="315"/>
      <c r="BY118" s="373"/>
      <c r="BZ118" s="315"/>
      <c r="CA118" s="315"/>
      <c r="CB118" s="353"/>
      <c r="CC118" s="313"/>
      <c r="CD118" s="522"/>
      <c r="CE118" s="526"/>
      <c r="CF118" s="527"/>
      <c r="CG118" s="526"/>
      <c r="CH118" s="527"/>
      <c r="CI118" s="526"/>
      <c r="CJ118" s="527"/>
      <c r="CK118" s="526"/>
      <c r="CL118" s="527"/>
      <c r="CM118" s="526"/>
      <c r="CN118" s="527"/>
      <c r="CO118" s="526"/>
      <c r="CP118" s="527"/>
      <c r="CQ118" s="526"/>
      <c r="CR118" s="527"/>
      <c r="CS118" s="522"/>
      <c r="CT118" s="313"/>
      <c r="CU118" s="313"/>
      <c r="CV118" s="313"/>
      <c r="CW118" s="313"/>
      <c r="CX118" s="313"/>
      <c r="CY118" s="313"/>
      <c r="CZ118" s="313"/>
      <c r="DA118" s="313"/>
      <c r="DB118" s="313"/>
      <c r="DC118" s="313"/>
    </row>
    <row r="119" spans="1:107" s="2" customFormat="1">
      <c r="A119" s="347"/>
      <c r="B119" s="347"/>
      <c r="C119" s="268"/>
      <c r="D119" s="346"/>
      <c r="E119" s="347"/>
      <c r="F119" s="349"/>
      <c r="G119" s="349"/>
      <c r="H119" s="348"/>
      <c r="I119" s="347"/>
      <c r="J119" s="348"/>
      <c r="K119" s="349"/>
      <c r="L119" s="348"/>
      <c r="M119" s="347"/>
      <c r="N119" s="347"/>
      <c r="O119" s="313"/>
      <c r="P119" s="313"/>
      <c r="Q119" s="313"/>
      <c r="R119" s="313"/>
      <c r="S119" s="313"/>
      <c r="T119" s="348"/>
      <c r="U119" s="349"/>
      <c r="V119" s="348"/>
      <c r="W119" s="349"/>
      <c r="X119" s="313"/>
      <c r="Y119" s="313"/>
      <c r="Z119" s="667"/>
      <c r="AA119" s="373"/>
      <c r="AB119" s="667"/>
      <c r="AC119" s="373"/>
      <c r="AD119" s="315"/>
      <c r="AE119" s="315"/>
      <c r="AF119" s="348"/>
      <c r="AG119" s="349"/>
      <c r="AH119" s="348"/>
      <c r="AI119" s="349"/>
      <c r="AJ119" s="313"/>
      <c r="AK119" s="313"/>
      <c r="AL119" s="667"/>
      <c r="AM119" s="373"/>
      <c r="AN119" s="667"/>
      <c r="AO119" s="373"/>
      <c r="AP119" s="315"/>
      <c r="AQ119" s="315"/>
      <c r="AR119" s="348"/>
      <c r="AS119" s="349"/>
      <c r="AT119" s="348"/>
      <c r="AU119" s="349"/>
      <c r="AV119" s="313"/>
      <c r="AW119" s="313"/>
      <c r="AX119" s="667"/>
      <c r="AY119" s="373"/>
      <c r="AZ119" s="667"/>
      <c r="BA119" s="373"/>
      <c r="BB119" s="315"/>
      <c r="BC119" s="315"/>
      <c r="BD119" s="313"/>
      <c r="BE119" s="349"/>
      <c r="BF119" s="348"/>
      <c r="BG119" s="349"/>
      <c r="BH119" s="313"/>
      <c r="BI119" s="313"/>
      <c r="BJ119" s="315"/>
      <c r="BK119" s="373"/>
      <c r="BL119" s="667"/>
      <c r="BM119" s="373"/>
      <c r="BN119" s="315"/>
      <c r="BO119" s="315"/>
      <c r="BP119" s="313"/>
      <c r="BQ119" s="349"/>
      <c r="BR119" s="313"/>
      <c r="BS119" s="349"/>
      <c r="BT119" s="313"/>
      <c r="BU119" s="313"/>
      <c r="BV119" s="315"/>
      <c r="BW119" s="373"/>
      <c r="BX119" s="315"/>
      <c r="BY119" s="373"/>
      <c r="BZ119" s="315"/>
      <c r="CA119" s="315"/>
      <c r="CB119" s="353"/>
      <c r="CC119" s="313"/>
      <c r="CD119" s="522"/>
      <c r="CE119" s="526"/>
      <c r="CF119" s="527"/>
      <c r="CG119" s="526"/>
      <c r="CH119" s="527"/>
      <c r="CI119" s="526"/>
      <c r="CJ119" s="527"/>
      <c r="CK119" s="526"/>
      <c r="CL119" s="527"/>
      <c r="CM119" s="526"/>
      <c r="CN119" s="527"/>
      <c r="CO119" s="526"/>
      <c r="CP119" s="527"/>
      <c r="CQ119" s="526"/>
      <c r="CR119" s="527"/>
      <c r="CS119" s="522"/>
      <c r="CT119" s="313"/>
      <c r="CU119" s="313"/>
      <c r="CV119" s="313"/>
      <c r="CW119" s="313"/>
      <c r="CX119" s="313"/>
      <c r="CY119" s="313"/>
      <c r="CZ119" s="313"/>
      <c r="DA119" s="313"/>
      <c r="DB119" s="313"/>
      <c r="DC119" s="313"/>
    </row>
    <row r="120" spans="1:107" s="2" customFormat="1">
      <c r="A120" s="347"/>
      <c r="B120" s="347"/>
      <c r="C120" s="268"/>
      <c r="D120" s="346"/>
      <c r="E120" s="347"/>
      <c r="F120" s="349"/>
      <c r="G120" s="349"/>
      <c r="H120" s="348"/>
      <c r="I120" s="347"/>
      <c r="J120" s="348"/>
      <c r="K120" s="349"/>
      <c r="L120" s="348"/>
      <c r="M120" s="347"/>
      <c r="N120" s="347"/>
      <c r="O120" s="313"/>
      <c r="P120" s="313"/>
      <c r="Q120" s="313"/>
      <c r="R120" s="313"/>
      <c r="S120" s="313"/>
      <c r="T120" s="348"/>
      <c r="U120" s="349"/>
      <c r="V120" s="348"/>
      <c r="W120" s="349"/>
      <c r="X120" s="313"/>
      <c r="Y120" s="313"/>
      <c r="Z120" s="667"/>
      <c r="AA120" s="373"/>
      <c r="AB120" s="667"/>
      <c r="AC120" s="373"/>
      <c r="AD120" s="315"/>
      <c r="AE120" s="315"/>
      <c r="AF120" s="348"/>
      <c r="AG120" s="349"/>
      <c r="AH120" s="348"/>
      <c r="AI120" s="349"/>
      <c r="AJ120" s="313"/>
      <c r="AK120" s="313"/>
      <c r="AL120" s="667"/>
      <c r="AM120" s="373"/>
      <c r="AN120" s="667"/>
      <c r="AO120" s="373"/>
      <c r="AP120" s="315"/>
      <c r="AQ120" s="315"/>
      <c r="AR120" s="348"/>
      <c r="AS120" s="349"/>
      <c r="AT120" s="348"/>
      <c r="AU120" s="349"/>
      <c r="AV120" s="313"/>
      <c r="AW120" s="313"/>
      <c r="AX120" s="667"/>
      <c r="AY120" s="373"/>
      <c r="AZ120" s="667"/>
      <c r="BA120" s="373"/>
      <c r="BB120" s="315"/>
      <c r="BC120" s="315"/>
      <c r="BD120" s="313"/>
      <c r="BE120" s="349"/>
      <c r="BF120" s="348"/>
      <c r="BG120" s="349"/>
      <c r="BH120" s="313"/>
      <c r="BI120" s="313"/>
      <c r="BJ120" s="315"/>
      <c r="BK120" s="373"/>
      <c r="BL120" s="667"/>
      <c r="BM120" s="373"/>
      <c r="BN120" s="315"/>
      <c r="BO120" s="315"/>
      <c r="BP120" s="313"/>
      <c r="BQ120" s="349"/>
      <c r="BR120" s="313"/>
      <c r="BS120" s="349"/>
      <c r="BT120" s="313"/>
      <c r="BU120" s="313"/>
      <c r="BV120" s="315"/>
      <c r="BW120" s="373"/>
      <c r="BX120" s="315"/>
      <c r="BY120" s="373"/>
      <c r="BZ120" s="315"/>
      <c r="CA120" s="315"/>
      <c r="CB120" s="353"/>
      <c r="CC120" s="313"/>
      <c r="CD120" s="522"/>
      <c r="CE120" s="526"/>
      <c r="CF120" s="527"/>
      <c r="CG120" s="526"/>
      <c r="CH120" s="527"/>
      <c r="CI120" s="526"/>
      <c r="CJ120" s="527"/>
      <c r="CK120" s="526"/>
      <c r="CL120" s="527"/>
      <c r="CM120" s="526"/>
      <c r="CN120" s="527"/>
      <c r="CO120" s="526"/>
      <c r="CP120" s="527"/>
      <c r="CQ120" s="526"/>
      <c r="CR120" s="527"/>
      <c r="CS120" s="522"/>
      <c r="CT120" s="313"/>
      <c r="CU120" s="313"/>
      <c r="CV120" s="313"/>
      <c r="CW120" s="313"/>
      <c r="CX120" s="313"/>
      <c r="CY120" s="313"/>
      <c r="CZ120" s="313"/>
      <c r="DA120" s="313"/>
      <c r="DB120" s="313"/>
      <c r="DC120" s="313"/>
    </row>
    <row r="121" spans="1:107" s="2" customFormat="1">
      <c r="A121" s="347"/>
      <c r="B121" s="347"/>
      <c r="C121" s="268"/>
      <c r="D121" s="346"/>
      <c r="E121" s="347"/>
      <c r="F121" s="349"/>
      <c r="G121" s="349"/>
      <c r="H121" s="348"/>
      <c r="I121" s="347"/>
      <c r="J121" s="348"/>
      <c r="K121" s="349"/>
      <c r="L121" s="348"/>
      <c r="M121" s="347"/>
      <c r="N121" s="347"/>
      <c r="O121" s="313"/>
      <c r="P121" s="313"/>
      <c r="Q121" s="313"/>
      <c r="R121" s="313"/>
      <c r="S121" s="313"/>
      <c r="T121" s="348"/>
      <c r="U121" s="349"/>
      <c r="V121" s="348"/>
      <c r="W121" s="349"/>
      <c r="X121" s="313"/>
      <c r="Y121" s="313"/>
      <c r="Z121" s="667"/>
      <c r="AA121" s="373"/>
      <c r="AB121" s="667"/>
      <c r="AC121" s="373"/>
      <c r="AD121" s="315"/>
      <c r="AE121" s="315"/>
      <c r="AF121" s="348"/>
      <c r="AG121" s="349"/>
      <c r="AH121" s="348"/>
      <c r="AI121" s="349"/>
      <c r="AJ121" s="313"/>
      <c r="AK121" s="313"/>
      <c r="AL121" s="667"/>
      <c r="AM121" s="373"/>
      <c r="AN121" s="667"/>
      <c r="AO121" s="373"/>
      <c r="AP121" s="315"/>
      <c r="AQ121" s="315"/>
      <c r="AR121" s="348"/>
      <c r="AS121" s="349"/>
      <c r="AT121" s="348"/>
      <c r="AU121" s="349"/>
      <c r="AV121" s="313"/>
      <c r="AW121" s="313"/>
      <c r="AX121" s="667"/>
      <c r="AY121" s="373"/>
      <c r="AZ121" s="667"/>
      <c r="BA121" s="373"/>
      <c r="BB121" s="315"/>
      <c r="BC121" s="315"/>
      <c r="BD121" s="313"/>
      <c r="BE121" s="349"/>
      <c r="BF121" s="348"/>
      <c r="BG121" s="349"/>
      <c r="BH121" s="313"/>
      <c r="BI121" s="313"/>
      <c r="BJ121" s="315"/>
      <c r="BK121" s="373"/>
      <c r="BL121" s="667"/>
      <c r="BM121" s="373"/>
      <c r="BN121" s="315"/>
      <c r="BO121" s="315"/>
      <c r="BP121" s="313"/>
      <c r="BQ121" s="349"/>
      <c r="BR121" s="313"/>
      <c r="BS121" s="349"/>
      <c r="BT121" s="313"/>
      <c r="BU121" s="313"/>
      <c r="BV121" s="315"/>
      <c r="BW121" s="373"/>
      <c r="BX121" s="315"/>
      <c r="BY121" s="373"/>
      <c r="BZ121" s="315"/>
      <c r="CA121" s="315"/>
      <c r="CB121" s="353"/>
      <c r="CC121" s="313"/>
      <c r="CD121" s="522"/>
      <c r="CE121" s="526"/>
      <c r="CF121" s="527"/>
      <c r="CG121" s="526"/>
      <c r="CH121" s="527"/>
      <c r="CI121" s="526"/>
      <c r="CJ121" s="527"/>
      <c r="CK121" s="526"/>
      <c r="CL121" s="527"/>
      <c r="CM121" s="526"/>
      <c r="CN121" s="527"/>
      <c r="CO121" s="526"/>
      <c r="CP121" s="527"/>
      <c r="CQ121" s="526"/>
      <c r="CR121" s="527"/>
      <c r="CS121" s="522"/>
      <c r="CT121" s="313"/>
      <c r="CU121" s="313"/>
      <c r="CV121" s="313"/>
      <c r="CW121" s="313"/>
      <c r="CX121" s="313"/>
      <c r="CY121" s="313"/>
      <c r="CZ121" s="313"/>
      <c r="DA121" s="313"/>
      <c r="DB121" s="313"/>
      <c r="DC121" s="313"/>
    </row>
    <row r="122" spans="1:107" s="2" customFormat="1">
      <c r="A122" s="347"/>
      <c r="B122" s="347"/>
      <c r="C122" s="268"/>
      <c r="D122" s="346"/>
      <c r="E122" s="347"/>
      <c r="F122" s="349"/>
      <c r="G122" s="349"/>
      <c r="H122" s="348"/>
      <c r="I122" s="347"/>
      <c r="J122" s="348"/>
      <c r="K122" s="349"/>
      <c r="L122" s="348"/>
      <c r="M122" s="347"/>
      <c r="N122" s="347"/>
      <c r="O122" s="313"/>
      <c r="P122" s="313"/>
      <c r="Q122" s="313"/>
      <c r="R122" s="313"/>
      <c r="S122" s="313"/>
      <c r="T122" s="348"/>
      <c r="U122" s="349"/>
      <c r="V122" s="348"/>
      <c r="W122" s="349"/>
      <c r="X122" s="313"/>
      <c r="Y122" s="313"/>
      <c r="Z122" s="667"/>
      <c r="AA122" s="373"/>
      <c r="AB122" s="667"/>
      <c r="AC122" s="373"/>
      <c r="AD122" s="315"/>
      <c r="AE122" s="315"/>
      <c r="AF122" s="348"/>
      <c r="AG122" s="349"/>
      <c r="AH122" s="348"/>
      <c r="AI122" s="349"/>
      <c r="AJ122" s="313"/>
      <c r="AK122" s="313"/>
      <c r="AL122" s="667"/>
      <c r="AM122" s="373"/>
      <c r="AN122" s="667"/>
      <c r="AO122" s="373"/>
      <c r="AP122" s="315"/>
      <c r="AQ122" s="315"/>
      <c r="AR122" s="348"/>
      <c r="AS122" s="349"/>
      <c r="AT122" s="348"/>
      <c r="AU122" s="349"/>
      <c r="AV122" s="313"/>
      <c r="AW122" s="313"/>
      <c r="AX122" s="667"/>
      <c r="AY122" s="373"/>
      <c r="AZ122" s="667"/>
      <c r="BA122" s="373"/>
      <c r="BB122" s="315"/>
      <c r="BC122" s="315"/>
      <c r="BD122" s="313"/>
      <c r="BE122" s="349"/>
      <c r="BF122" s="348"/>
      <c r="BG122" s="349"/>
      <c r="BH122" s="313"/>
      <c r="BI122" s="313"/>
      <c r="BJ122" s="315"/>
      <c r="BK122" s="373"/>
      <c r="BL122" s="667"/>
      <c r="BM122" s="373"/>
      <c r="BN122" s="315"/>
      <c r="BO122" s="315"/>
      <c r="BP122" s="313"/>
      <c r="BQ122" s="349"/>
      <c r="BR122" s="313"/>
      <c r="BS122" s="349"/>
      <c r="BT122" s="313"/>
      <c r="BU122" s="313"/>
      <c r="BV122" s="315"/>
      <c r="BW122" s="373"/>
      <c r="BX122" s="315"/>
      <c r="BY122" s="373"/>
      <c r="BZ122" s="315"/>
      <c r="CA122" s="315"/>
      <c r="CB122" s="353"/>
      <c r="CC122" s="313"/>
      <c r="CD122" s="522"/>
      <c r="CE122" s="526"/>
      <c r="CF122" s="527"/>
      <c r="CG122" s="526"/>
      <c r="CH122" s="527"/>
      <c r="CI122" s="526"/>
      <c r="CJ122" s="527"/>
      <c r="CK122" s="526"/>
      <c r="CL122" s="527"/>
      <c r="CM122" s="526"/>
      <c r="CN122" s="527"/>
      <c r="CO122" s="526"/>
      <c r="CP122" s="527"/>
      <c r="CQ122" s="526"/>
      <c r="CR122" s="527"/>
      <c r="CS122" s="522"/>
      <c r="CT122" s="313"/>
      <c r="CU122" s="313"/>
      <c r="CV122" s="313"/>
      <c r="CW122" s="313"/>
      <c r="CX122" s="313"/>
      <c r="CY122" s="313"/>
      <c r="CZ122" s="313"/>
      <c r="DA122" s="313"/>
      <c r="DB122" s="313"/>
      <c r="DC122" s="313"/>
    </row>
    <row r="123" spans="1:107" s="2" customFormat="1">
      <c r="A123" s="347"/>
      <c r="B123" s="347"/>
      <c r="C123" s="268"/>
      <c r="D123" s="346"/>
      <c r="E123" s="347"/>
      <c r="F123" s="349"/>
      <c r="G123" s="349"/>
      <c r="H123" s="348"/>
      <c r="I123" s="347"/>
      <c r="J123" s="348"/>
      <c r="K123" s="349"/>
      <c r="L123" s="348"/>
      <c r="M123" s="347"/>
      <c r="N123" s="347"/>
      <c r="O123" s="313"/>
      <c r="P123" s="313"/>
      <c r="Q123" s="313"/>
      <c r="R123" s="313"/>
      <c r="S123" s="313"/>
      <c r="T123" s="348"/>
      <c r="U123" s="349"/>
      <c r="V123" s="348"/>
      <c r="W123" s="349"/>
      <c r="X123" s="313"/>
      <c r="Y123" s="313"/>
      <c r="Z123" s="667"/>
      <c r="AA123" s="373"/>
      <c r="AB123" s="667"/>
      <c r="AC123" s="373"/>
      <c r="AD123" s="315"/>
      <c r="AE123" s="315"/>
      <c r="AF123" s="348"/>
      <c r="AG123" s="349"/>
      <c r="AH123" s="348"/>
      <c r="AI123" s="349"/>
      <c r="AJ123" s="313"/>
      <c r="AK123" s="313"/>
      <c r="AL123" s="667"/>
      <c r="AM123" s="373"/>
      <c r="AN123" s="667"/>
      <c r="AO123" s="373"/>
      <c r="AP123" s="315"/>
      <c r="AQ123" s="315"/>
      <c r="AR123" s="348"/>
      <c r="AS123" s="349"/>
      <c r="AT123" s="348"/>
      <c r="AU123" s="349"/>
      <c r="AV123" s="313"/>
      <c r="AW123" s="313"/>
      <c r="AX123" s="667"/>
      <c r="AY123" s="373"/>
      <c r="AZ123" s="667"/>
      <c r="BA123" s="373"/>
      <c r="BB123" s="315"/>
      <c r="BC123" s="315"/>
      <c r="BD123" s="313"/>
      <c r="BE123" s="349"/>
      <c r="BF123" s="348"/>
      <c r="BG123" s="349"/>
      <c r="BH123" s="313"/>
      <c r="BI123" s="313"/>
      <c r="BJ123" s="315"/>
      <c r="BK123" s="373"/>
      <c r="BL123" s="667"/>
      <c r="BM123" s="373"/>
      <c r="BN123" s="315"/>
      <c r="BO123" s="315"/>
      <c r="BP123" s="313"/>
      <c r="BQ123" s="349"/>
      <c r="BR123" s="313"/>
      <c r="BS123" s="349"/>
      <c r="BT123" s="313"/>
      <c r="BU123" s="313"/>
      <c r="BV123" s="315"/>
      <c r="BW123" s="373"/>
      <c r="BX123" s="315"/>
      <c r="BY123" s="373"/>
      <c r="BZ123" s="315"/>
      <c r="CA123" s="315"/>
      <c r="CB123" s="353"/>
      <c r="CC123" s="313"/>
      <c r="CD123" s="522"/>
      <c r="CE123" s="526"/>
      <c r="CF123" s="527"/>
      <c r="CG123" s="526"/>
      <c r="CH123" s="527"/>
      <c r="CI123" s="526"/>
      <c r="CJ123" s="527"/>
      <c r="CK123" s="526"/>
      <c r="CL123" s="527"/>
      <c r="CM123" s="526"/>
      <c r="CN123" s="527"/>
      <c r="CO123" s="526"/>
      <c r="CP123" s="527"/>
      <c r="CQ123" s="526"/>
      <c r="CR123" s="527"/>
      <c r="CS123" s="522"/>
      <c r="CT123" s="313"/>
      <c r="CU123" s="313"/>
      <c r="CV123" s="313"/>
      <c r="CW123" s="313"/>
      <c r="CX123" s="313"/>
      <c r="CY123" s="313"/>
      <c r="CZ123" s="313"/>
      <c r="DA123" s="313"/>
      <c r="DB123" s="313"/>
      <c r="DC123" s="313"/>
    </row>
    <row r="124" spans="1:107" s="2" customFormat="1">
      <c r="A124" s="347"/>
      <c r="B124" s="347"/>
      <c r="C124" s="268"/>
      <c r="D124" s="346"/>
      <c r="E124" s="347"/>
      <c r="F124" s="349"/>
      <c r="G124" s="349"/>
      <c r="H124" s="348"/>
      <c r="I124" s="347"/>
      <c r="J124" s="348"/>
      <c r="K124" s="349"/>
      <c r="L124" s="348"/>
      <c r="M124" s="347"/>
      <c r="N124" s="347"/>
      <c r="O124" s="313"/>
      <c r="P124" s="313"/>
      <c r="Q124" s="313"/>
      <c r="R124" s="313"/>
      <c r="S124" s="313"/>
      <c r="T124" s="348"/>
      <c r="U124" s="349"/>
      <c r="V124" s="348"/>
      <c r="W124" s="349"/>
      <c r="X124" s="313"/>
      <c r="Y124" s="313"/>
      <c r="Z124" s="667"/>
      <c r="AA124" s="373"/>
      <c r="AB124" s="667"/>
      <c r="AC124" s="373"/>
      <c r="AD124" s="315"/>
      <c r="AE124" s="315"/>
      <c r="AF124" s="348"/>
      <c r="AG124" s="349"/>
      <c r="AH124" s="348"/>
      <c r="AI124" s="349"/>
      <c r="AJ124" s="313"/>
      <c r="AK124" s="313"/>
      <c r="AL124" s="667"/>
      <c r="AM124" s="373"/>
      <c r="AN124" s="667"/>
      <c r="AO124" s="373"/>
      <c r="AP124" s="315"/>
      <c r="AQ124" s="315"/>
      <c r="AR124" s="348"/>
      <c r="AS124" s="349"/>
      <c r="AT124" s="348"/>
      <c r="AU124" s="349"/>
      <c r="AV124" s="313"/>
      <c r="AW124" s="313"/>
      <c r="AX124" s="667"/>
      <c r="AY124" s="373"/>
      <c r="AZ124" s="667"/>
      <c r="BA124" s="373"/>
      <c r="BB124" s="315"/>
      <c r="BC124" s="315"/>
      <c r="BD124" s="313"/>
      <c r="BE124" s="349"/>
      <c r="BF124" s="348"/>
      <c r="BG124" s="349"/>
      <c r="BH124" s="313"/>
      <c r="BI124" s="313"/>
      <c r="BJ124" s="315"/>
      <c r="BK124" s="373"/>
      <c r="BL124" s="667"/>
      <c r="BM124" s="373"/>
      <c r="BN124" s="315"/>
      <c r="BO124" s="315"/>
      <c r="BP124" s="313"/>
      <c r="BQ124" s="349"/>
      <c r="BR124" s="313"/>
      <c r="BS124" s="349"/>
      <c r="BT124" s="313"/>
      <c r="BU124" s="313"/>
      <c r="BV124" s="315"/>
      <c r="BW124" s="373"/>
      <c r="BX124" s="315"/>
      <c r="BY124" s="373"/>
      <c r="BZ124" s="315"/>
      <c r="CA124" s="315"/>
      <c r="CB124" s="353"/>
      <c r="CC124" s="313"/>
      <c r="CD124" s="522"/>
      <c r="CE124" s="526"/>
      <c r="CF124" s="527"/>
      <c r="CG124" s="526"/>
      <c r="CH124" s="527"/>
      <c r="CI124" s="526"/>
      <c r="CJ124" s="527"/>
      <c r="CK124" s="526"/>
      <c r="CL124" s="527"/>
      <c r="CM124" s="526"/>
      <c r="CN124" s="527"/>
      <c r="CO124" s="526"/>
      <c r="CP124" s="527"/>
      <c r="CQ124" s="526"/>
      <c r="CR124" s="527"/>
      <c r="CS124" s="522"/>
      <c r="CT124" s="313"/>
      <c r="CU124" s="313"/>
      <c r="CV124" s="313"/>
      <c r="CW124" s="313"/>
      <c r="CX124" s="313"/>
      <c r="CY124" s="313"/>
      <c r="CZ124" s="313"/>
      <c r="DA124" s="313"/>
      <c r="DB124" s="313"/>
      <c r="DC124" s="313"/>
    </row>
    <row r="125" spans="1:107" s="2" customFormat="1">
      <c r="A125" s="347"/>
      <c r="B125" s="347"/>
      <c r="C125" s="268"/>
      <c r="D125" s="346"/>
      <c r="E125" s="347"/>
      <c r="F125" s="349"/>
      <c r="G125" s="349"/>
      <c r="H125" s="348"/>
      <c r="I125" s="347"/>
      <c r="J125" s="348"/>
      <c r="K125" s="349"/>
      <c r="L125" s="348"/>
      <c r="M125" s="347"/>
      <c r="N125" s="347"/>
      <c r="O125" s="313"/>
      <c r="P125" s="313"/>
      <c r="Q125" s="313"/>
      <c r="R125" s="313"/>
      <c r="S125" s="313"/>
      <c r="T125" s="348"/>
      <c r="U125" s="349"/>
      <c r="V125" s="348"/>
      <c r="W125" s="349"/>
      <c r="X125" s="313"/>
      <c r="Y125" s="313"/>
      <c r="Z125" s="667"/>
      <c r="AA125" s="373"/>
      <c r="AB125" s="667"/>
      <c r="AC125" s="373"/>
      <c r="AD125" s="315"/>
      <c r="AE125" s="315"/>
      <c r="AF125" s="348"/>
      <c r="AG125" s="349"/>
      <c r="AH125" s="348"/>
      <c r="AI125" s="349"/>
      <c r="AJ125" s="313"/>
      <c r="AK125" s="313"/>
      <c r="AL125" s="667"/>
      <c r="AM125" s="373"/>
      <c r="AN125" s="667"/>
      <c r="AO125" s="373"/>
      <c r="AP125" s="315"/>
      <c r="AQ125" s="315"/>
      <c r="AR125" s="348"/>
      <c r="AS125" s="349"/>
      <c r="AT125" s="348"/>
      <c r="AU125" s="349"/>
      <c r="AV125" s="313"/>
      <c r="AW125" s="313"/>
      <c r="AX125" s="667"/>
      <c r="AY125" s="373"/>
      <c r="AZ125" s="667"/>
      <c r="BA125" s="373"/>
      <c r="BB125" s="315"/>
      <c r="BC125" s="315"/>
      <c r="BD125" s="313"/>
      <c r="BE125" s="349"/>
      <c r="BF125" s="348"/>
      <c r="BG125" s="349"/>
      <c r="BH125" s="313"/>
      <c r="BI125" s="313"/>
      <c r="BJ125" s="315"/>
      <c r="BK125" s="373"/>
      <c r="BL125" s="667"/>
      <c r="BM125" s="373"/>
      <c r="BN125" s="315"/>
      <c r="BO125" s="315"/>
      <c r="BP125" s="313"/>
      <c r="BQ125" s="349"/>
      <c r="BR125" s="313"/>
      <c r="BS125" s="349"/>
      <c r="BT125" s="313"/>
      <c r="BU125" s="313"/>
      <c r="BV125" s="315"/>
      <c r="BW125" s="373"/>
      <c r="BX125" s="315"/>
      <c r="BY125" s="373"/>
      <c r="BZ125" s="315"/>
      <c r="CA125" s="315"/>
      <c r="CB125" s="353"/>
      <c r="CC125" s="313"/>
      <c r="CD125" s="522"/>
      <c r="CE125" s="526"/>
      <c r="CF125" s="527"/>
      <c r="CG125" s="526"/>
      <c r="CH125" s="527"/>
      <c r="CI125" s="526"/>
      <c r="CJ125" s="527"/>
      <c r="CK125" s="526"/>
      <c r="CL125" s="527"/>
      <c r="CM125" s="526"/>
      <c r="CN125" s="527"/>
      <c r="CO125" s="526"/>
      <c r="CP125" s="527"/>
      <c r="CQ125" s="526"/>
      <c r="CR125" s="527"/>
      <c r="CS125" s="522"/>
      <c r="CT125" s="313"/>
      <c r="CU125" s="313"/>
      <c r="CV125" s="313"/>
      <c r="CW125" s="313"/>
      <c r="CX125" s="313"/>
      <c r="CY125" s="313"/>
      <c r="CZ125" s="313"/>
      <c r="DA125" s="313"/>
      <c r="DB125" s="313"/>
      <c r="DC125" s="313"/>
    </row>
    <row r="126" spans="1:107" s="2" customFormat="1">
      <c r="A126" s="347"/>
      <c r="B126" s="347"/>
      <c r="C126" s="268"/>
      <c r="D126" s="346"/>
      <c r="E126" s="347"/>
      <c r="F126" s="349"/>
      <c r="G126" s="349"/>
      <c r="H126" s="348"/>
      <c r="I126" s="347"/>
      <c r="J126" s="348"/>
      <c r="K126" s="349"/>
      <c r="L126" s="348"/>
      <c r="M126" s="347"/>
      <c r="N126" s="347"/>
      <c r="O126" s="313"/>
      <c r="P126" s="313"/>
      <c r="Q126" s="313"/>
      <c r="R126" s="313"/>
      <c r="S126" s="313"/>
      <c r="T126" s="348"/>
      <c r="U126" s="349"/>
      <c r="V126" s="348"/>
      <c r="W126" s="349"/>
      <c r="X126" s="313"/>
      <c r="Y126" s="313"/>
      <c r="Z126" s="667"/>
      <c r="AA126" s="373"/>
      <c r="AB126" s="667"/>
      <c r="AC126" s="373"/>
      <c r="AD126" s="315"/>
      <c r="AE126" s="315"/>
      <c r="AF126" s="348"/>
      <c r="AG126" s="349"/>
      <c r="AH126" s="348"/>
      <c r="AI126" s="349"/>
      <c r="AJ126" s="313"/>
      <c r="AK126" s="313"/>
      <c r="AL126" s="667"/>
      <c r="AM126" s="373"/>
      <c r="AN126" s="667"/>
      <c r="AO126" s="373"/>
      <c r="AP126" s="315"/>
      <c r="AQ126" s="315"/>
      <c r="AR126" s="348"/>
      <c r="AS126" s="349"/>
      <c r="AT126" s="348"/>
      <c r="AU126" s="349"/>
      <c r="AV126" s="313"/>
      <c r="AW126" s="313"/>
      <c r="AX126" s="667"/>
      <c r="AY126" s="373"/>
      <c r="AZ126" s="667"/>
      <c r="BA126" s="373"/>
      <c r="BB126" s="315"/>
      <c r="BC126" s="315"/>
      <c r="BD126" s="313"/>
      <c r="BE126" s="349"/>
      <c r="BF126" s="348"/>
      <c r="BG126" s="349"/>
      <c r="BH126" s="313"/>
      <c r="BI126" s="313"/>
      <c r="BJ126" s="315"/>
      <c r="BK126" s="373"/>
      <c r="BL126" s="667"/>
      <c r="BM126" s="373"/>
      <c r="BN126" s="315"/>
      <c r="BO126" s="315"/>
      <c r="BP126" s="313"/>
      <c r="BQ126" s="349"/>
      <c r="BR126" s="313"/>
      <c r="BS126" s="349"/>
      <c r="BT126" s="313"/>
      <c r="BU126" s="313"/>
      <c r="BV126" s="315"/>
      <c r="BW126" s="373"/>
      <c r="BX126" s="315"/>
      <c r="BY126" s="373"/>
      <c r="BZ126" s="315"/>
      <c r="CA126" s="315"/>
      <c r="CB126" s="353"/>
      <c r="CC126" s="313"/>
      <c r="CD126" s="522"/>
      <c r="CE126" s="526"/>
      <c r="CF126" s="527"/>
      <c r="CG126" s="526"/>
      <c r="CH126" s="527"/>
      <c r="CI126" s="526"/>
      <c r="CJ126" s="527"/>
      <c r="CK126" s="526"/>
      <c r="CL126" s="527"/>
      <c r="CM126" s="526"/>
      <c r="CN126" s="527"/>
      <c r="CO126" s="526"/>
      <c r="CP126" s="527"/>
      <c r="CQ126" s="526"/>
      <c r="CR126" s="527"/>
      <c r="CS126" s="522"/>
      <c r="CT126" s="313"/>
      <c r="CU126" s="313"/>
      <c r="CV126" s="313"/>
      <c r="CW126" s="313"/>
      <c r="CX126" s="313"/>
      <c r="CY126" s="313"/>
      <c r="CZ126" s="313"/>
      <c r="DA126" s="313"/>
      <c r="DB126" s="313"/>
      <c r="DC126" s="313"/>
    </row>
    <row r="127" spans="1:107" s="2" customFormat="1">
      <c r="A127" s="347"/>
      <c r="B127" s="347"/>
      <c r="C127" s="268"/>
      <c r="D127" s="346"/>
      <c r="E127" s="347"/>
      <c r="F127" s="349"/>
      <c r="G127" s="349"/>
      <c r="H127" s="348"/>
      <c r="I127" s="347"/>
      <c r="J127" s="348"/>
      <c r="K127" s="349"/>
      <c r="L127" s="348"/>
      <c r="M127" s="347"/>
      <c r="N127" s="347"/>
      <c r="O127" s="313"/>
      <c r="P127" s="313"/>
      <c r="Q127" s="313"/>
      <c r="R127" s="313"/>
      <c r="S127" s="313"/>
      <c r="T127" s="348"/>
      <c r="U127" s="349"/>
      <c r="V127" s="348"/>
      <c r="W127" s="349"/>
      <c r="X127" s="313"/>
      <c r="Y127" s="313"/>
      <c r="Z127" s="667"/>
      <c r="AA127" s="373"/>
      <c r="AB127" s="667"/>
      <c r="AC127" s="373"/>
      <c r="AD127" s="315"/>
      <c r="AE127" s="315"/>
      <c r="AF127" s="348"/>
      <c r="AG127" s="349"/>
      <c r="AH127" s="348"/>
      <c r="AI127" s="349"/>
      <c r="AJ127" s="313"/>
      <c r="AK127" s="313"/>
      <c r="AL127" s="667"/>
      <c r="AM127" s="373"/>
      <c r="AN127" s="667"/>
      <c r="AO127" s="373"/>
      <c r="AP127" s="315"/>
      <c r="AQ127" s="315"/>
      <c r="AR127" s="348"/>
      <c r="AS127" s="349"/>
      <c r="AT127" s="348"/>
      <c r="AU127" s="349"/>
      <c r="AV127" s="313"/>
      <c r="AW127" s="313"/>
      <c r="AX127" s="667"/>
      <c r="AY127" s="373"/>
      <c r="AZ127" s="667"/>
      <c r="BA127" s="373"/>
      <c r="BB127" s="315"/>
      <c r="BC127" s="315"/>
      <c r="BD127" s="313"/>
      <c r="BE127" s="349"/>
      <c r="BF127" s="348"/>
      <c r="BG127" s="349"/>
      <c r="BH127" s="313"/>
      <c r="BI127" s="313"/>
      <c r="BJ127" s="315"/>
      <c r="BK127" s="373"/>
      <c r="BL127" s="667"/>
      <c r="BM127" s="373"/>
      <c r="BN127" s="315"/>
      <c r="BO127" s="315"/>
      <c r="BP127" s="313"/>
      <c r="BQ127" s="349"/>
      <c r="BR127" s="313"/>
      <c r="BS127" s="349"/>
      <c r="BT127" s="313"/>
      <c r="BU127" s="313"/>
      <c r="BV127" s="315"/>
      <c r="BW127" s="373"/>
      <c r="BX127" s="315"/>
      <c r="BY127" s="373"/>
      <c r="BZ127" s="315"/>
      <c r="CA127" s="315"/>
      <c r="CB127" s="353"/>
      <c r="CC127" s="313"/>
      <c r="CD127" s="522"/>
      <c r="CE127" s="526"/>
      <c r="CF127" s="527"/>
      <c r="CG127" s="526"/>
      <c r="CH127" s="527"/>
      <c r="CI127" s="526"/>
      <c r="CJ127" s="527"/>
      <c r="CK127" s="526"/>
      <c r="CL127" s="527"/>
      <c r="CM127" s="526"/>
      <c r="CN127" s="527"/>
      <c r="CO127" s="526"/>
      <c r="CP127" s="527"/>
      <c r="CQ127" s="526"/>
      <c r="CR127" s="527"/>
      <c r="CS127" s="522"/>
      <c r="CT127" s="313"/>
      <c r="CU127" s="313"/>
      <c r="CV127" s="313"/>
      <c r="CW127" s="313"/>
      <c r="CX127" s="313"/>
      <c r="CY127" s="313"/>
      <c r="CZ127" s="313"/>
      <c r="DA127" s="313"/>
      <c r="DB127" s="313"/>
      <c r="DC127" s="313"/>
    </row>
    <row r="128" spans="1:107" s="2" customFormat="1">
      <c r="A128" s="347"/>
      <c r="B128" s="347"/>
      <c r="C128" s="268"/>
      <c r="D128" s="346"/>
      <c r="E128" s="347"/>
      <c r="F128" s="349"/>
      <c r="G128" s="349"/>
      <c r="H128" s="348"/>
      <c r="I128" s="347"/>
      <c r="J128" s="348"/>
      <c r="K128" s="349"/>
      <c r="L128" s="348"/>
      <c r="M128" s="347"/>
      <c r="N128" s="347"/>
      <c r="O128" s="313"/>
      <c r="P128" s="313"/>
      <c r="Q128" s="313"/>
      <c r="R128" s="313"/>
      <c r="S128" s="313"/>
      <c r="T128" s="348"/>
      <c r="U128" s="349"/>
      <c r="V128" s="348"/>
      <c r="W128" s="349"/>
      <c r="X128" s="313"/>
      <c r="Y128" s="313"/>
      <c r="Z128" s="667"/>
      <c r="AA128" s="373"/>
      <c r="AB128" s="667"/>
      <c r="AC128" s="373"/>
      <c r="AD128" s="315"/>
      <c r="AE128" s="315"/>
      <c r="AF128" s="348"/>
      <c r="AG128" s="349"/>
      <c r="AH128" s="348"/>
      <c r="AI128" s="349"/>
      <c r="AJ128" s="313"/>
      <c r="AK128" s="313"/>
      <c r="AL128" s="667"/>
      <c r="AM128" s="373"/>
      <c r="AN128" s="667"/>
      <c r="AO128" s="373"/>
      <c r="AP128" s="315"/>
      <c r="AQ128" s="315"/>
      <c r="AR128" s="348"/>
      <c r="AS128" s="349"/>
      <c r="AT128" s="348"/>
      <c r="AU128" s="349"/>
      <c r="AV128" s="313"/>
      <c r="AW128" s="313"/>
      <c r="AX128" s="667"/>
      <c r="AY128" s="373"/>
      <c r="AZ128" s="667"/>
      <c r="BA128" s="373"/>
      <c r="BB128" s="315"/>
      <c r="BC128" s="315"/>
      <c r="BD128" s="313"/>
      <c r="BE128" s="349"/>
      <c r="BF128" s="348"/>
      <c r="BG128" s="349"/>
      <c r="BH128" s="313"/>
      <c r="BI128" s="313"/>
      <c r="BJ128" s="315"/>
      <c r="BK128" s="373"/>
      <c r="BL128" s="667"/>
      <c r="BM128" s="373"/>
      <c r="BN128" s="315"/>
      <c r="BO128" s="315"/>
      <c r="BP128" s="313"/>
      <c r="BQ128" s="349"/>
      <c r="BR128" s="313"/>
      <c r="BS128" s="349"/>
      <c r="BT128" s="313"/>
      <c r="BU128" s="313"/>
      <c r="BV128" s="315"/>
      <c r="BW128" s="373"/>
      <c r="BX128" s="315"/>
      <c r="BY128" s="373"/>
      <c r="BZ128" s="315"/>
      <c r="CA128" s="315"/>
      <c r="CB128" s="353"/>
      <c r="CC128" s="313"/>
      <c r="CD128" s="522"/>
      <c r="CE128" s="526"/>
      <c r="CF128" s="527"/>
      <c r="CG128" s="526"/>
      <c r="CH128" s="527"/>
      <c r="CI128" s="526"/>
      <c r="CJ128" s="527"/>
      <c r="CK128" s="526"/>
      <c r="CL128" s="527"/>
      <c r="CM128" s="526"/>
      <c r="CN128" s="527"/>
      <c r="CO128" s="526"/>
      <c r="CP128" s="527"/>
      <c r="CQ128" s="526"/>
      <c r="CR128" s="527"/>
      <c r="CS128" s="522"/>
      <c r="CT128" s="313"/>
      <c r="CU128" s="313"/>
      <c r="CV128" s="313"/>
      <c r="CW128" s="313"/>
      <c r="CX128" s="313"/>
      <c r="CY128" s="313"/>
      <c r="CZ128" s="313"/>
      <c r="DA128" s="313"/>
      <c r="DB128" s="313"/>
      <c r="DC128" s="313"/>
    </row>
    <row r="129" spans="1:107" s="2" customFormat="1">
      <c r="A129" s="347"/>
      <c r="B129" s="347"/>
      <c r="C129" s="268"/>
      <c r="D129" s="346"/>
      <c r="E129" s="347"/>
      <c r="F129" s="349"/>
      <c r="G129" s="349"/>
      <c r="H129" s="348"/>
      <c r="I129" s="347"/>
      <c r="J129" s="348"/>
      <c r="K129" s="349"/>
      <c r="L129" s="348"/>
      <c r="M129" s="347"/>
      <c r="N129" s="347"/>
      <c r="O129" s="313"/>
      <c r="P129" s="313"/>
      <c r="Q129" s="313"/>
      <c r="R129" s="313"/>
      <c r="S129" s="313"/>
      <c r="T129" s="348"/>
      <c r="U129" s="349"/>
      <c r="V129" s="348"/>
      <c r="W129" s="349"/>
      <c r="X129" s="313"/>
      <c r="Y129" s="313"/>
      <c r="Z129" s="667"/>
      <c r="AA129" s="373"/>
      <c r="AB129" s="667"/>
      <c r="AC129" s="373"/>
      <c r="AD129" s="315"/>
      <c r="AE129" s="315"/>
      <c r="AF129" s="348"/>
      <c r="AG129" s="349"/>
      <c r="AH129" s="348"/>
      <c r="AI129" s="349"/>
      <c r="AJ129" s="313"/>
      <c r="AK129" s="313"/>
      <c r="AL129" s="667"/>
      <c r="AM129" s="373"/>
      <c r="AN129" s="667"/>
      <c r="AO129" s="373"/>
      <c r="AP129" s="315"/>
      <c r="AQ129" s="315"/>
      <c r="AR129" s="348"/>
      <c r="AS129" s="349"/>
      <c r="AT129" s="348"/>
      <c r="AU129" s="349"/>
      <c r="AV129" s="313"/>
      <c r="AW129" s="313"/>
      <c r="AX129" s="667"/>
      <c r="AY129" s="373"/>
      <c r="AZ129" s="667"/>
      <c r="BA129" s="373"/>
      <c r="BB129" s="315"/>
      <c r="BC129" s="315"/>
      <c r="BD129" s="313"/>
      <c r="BE129" s="349"/>
      <c r="BF129" s="348"/>
      <c r="BG129" s="349"/>
      <c r="BH129" s="313"/>
      <c r="BI129" s="313"/>
      <c r="BJ129" s="315"/>
      <c r="BK129" s="373"/>
      <c r="BL129" s="667"/>
      <c r="BM129" s="373"/>
      <c r="BN129" s="315"/>
      <c r="BO129" s="315"/>
      <c r="BP129" s="313"/>
      <c r="BQ129" s="349"/>
      <c r="BR129" s="313"/>
      <c r="BS129" s="349"/>
      <c r="BT129" s="313"/>
      <c r="BU129" s="313"/>
      <c r="BV129" s="315"/>
      <c r="BW129" s="373"/>
      <c r="BX129" s="315"/>
      <c r="BY129" s="373"/>
      <c r="BZ129" s="315"/>
      <c r="CA129" s="315"/>
      <c r="CB129" s="353"/>
      <c r="CC129" s="313"/>
      <c r="CD129" s="522"/>
      <c r="CE129" s="526"/>
      <c r="CF129" s="527"/>
      <c r="CG129" s="526"/>
      <c r="CH129" s="527"/>
      <c r="CI129" s="526"/>
      <c r="CJ129" s="527"/>
      <c r="CK129" s="526"/>
      <c r="CL129" s="527"/>
      <c r="CM129" s="526"/>
      <c r="CN129" s="527"/>
      <c r="CO129" s="526"/>
      <c r="CP129" s="527"/>
      <c r="CQ129" s="526"/>
      <c r="CR129" s="527"/>
      <c r="CS129" s="522"/>
      <c r="CT129" s="313"/>
      <c r="CU129" s="313"/>
      <c r="CV129" s="313"/>
      <c r="CW129" s="313"/>
      <c r="CX129" s="313"/>
      <c r="CY129" s="313"/>
      <c r="CZ129" s="313"/>
      <c r="DA129" s="313"/>
      <c r="DB129" s="313"/>
      <c r="DC129" s="313"/>
    </row>
    <row r="130" spans="1:107" s="2" customFormat="1">
      <c r="A130" s="347"/>
      <c r="B130" s="347"/>
      <c r="C130" s="268"/>
      <c r="D130" s="346"/>
      <c r="E130" s="347"/>
      <c r="F130" s="349"/>
      <c r="G130" s="349"/>
      <c r="H130" s="348"/>
      <c r="I130" s="347"/>
      <c r="J130" s="348"/>
      <c r="K130" s="349"/>
      <c r="L130" s="348"/>
      <c r="M130" s="347"/>
      <c r="N130" s="347"/>
      <c r="O130" s="313"/>
      <c r="P130" s="313"/>
      <c r="Q130" s="313"/>
      <c r="R130" s="313"/>
      <c r="S130" s="313"/>
      <c r="T130" s="348"/>
      <c r="U130" s="349"/>
      <c r="V130" s="348"/>
      <c r="W130" s="349"/>
      <c r="X130" s="313"/>
      <c r="Y130" s="313"/>
      <c r="Z130" s="667"/>
      <c r="AA130" s="373"/>
      <c r="AB130" s="667"/>
      <c r="AC130" s="373"/>
      <c r="AD130" s="315"/>
      <c r="AE130" s="315"/>
      <c r="AF130" s="348"/>
      <c r="AG130" s="349"/>
      <c r="AH130" s="348"/>
      <c r="AI130" s="349"/>
      <c r="AJ130" s="313"/>
      <c r="AK130" s="313"/>
      <c r="AL130" s="667"/>
      <c r="AM130" s="373"/>
      <c r="AN130" s="667"/>
      <c r="AO130" s="373"/>
      <c r="AP130" s="315"/>
      <c r="AQ130" s="315"/>
      <c r="AR130" s="348"/>
      <c r="AS130" s="349"/>
      <c r="AT130" s="348"/>
      <c r="AU130" s="349"/>
      <c r="AV130" s="313"/>
      <c r="AW130" s="313"/>
      <c r="AX130" s="667"/>
      <c r="AY130" s="373"/>
      <c r="AZ130" s="667"/>
      <c r="BA130" s="373"/>
      <c r="BB130" s="315"/>
      <c r="BC130" s="315"/>
      <c r="BD130" s="313"/>
      <c r="BE130" s="349"/>
      <c r="BF130" s="348"/>
      <c r="BG130" s="349"/>
      <c r="BH130" s="313"/>
      <c r="BI130" s="313"/>
      <c r="BJ130" s="315"/>
      <c r="BK130" s="373"/>
      <c r="BL130" s="667"/>
      <c r="BM130" s="373"/>
      <c r="BN130" s="315"/>
      <c r="BO130" s="315"/>
      <c r="BP130" s="313"/>
      <c r="BQ130" s="349"/>
      <c r="BR130" s="313"/>
      <c r="BS130" s="349"/>
      <c r="BT130" s="313"/>
      <c r="BU130" s="313"/>
      <c r="BV130" s="315"/>
      <c r="BW130" s="373"/>
      <c r="BX130" s="315"/>
      <c r="BY130" s="373"/>
      <c r="BZ130" s="315"/>
      <c r="CA130" s="315"/>
      <c r="CB130" s="353"/>
      <c r="CC130" s="313"/>
      <c r="CD130" s="522"/>
      <c r="CE130" s="526"/>
      <c r="CF130" s="527"/>
      <c r="CG130" s="526"/>
      <c r="CH130" s="527"/>
      <c r="CI130" s="526"/>
      <c r="CJ130" s="527"/>
      <c r="CK130" s="526"/>
      <c r="CL130" s="527"/>
      <c r="CM130" s="526"/>
      <c r="CN130" s="527"/>
      <c r="CO130" s="526"/>
      <c r="CP130" s="527"/>
      <c r="CQ130" s="526"/>
      <c r="CR130" s="527"/>
      <c r="CS130" s="522"/>
      <c r="CT130" s="313"/>
      <c r="CU130" s="313"/>
      <c r="CV130" s="313"/>
      <c r="CW130" s="313"/>
      <c r="CX130" s="313"/>
      <c r="CY130" s="313"/>
      <c r="CZ130" s="313"/>
      <c r="DA130" s="313"/>
      <c r="DB130" s="313"/>
      <c r="DC130" s="313"/>
    </row>
    <row r="131" spans="1:107" s="2" customFormat="1">
      <c r="A131" s="347"/>
      <c r="B131" s="347"/>
      <c r="C131" s="268"/>
      <c r="D131" s="346"/>
      <c r="E131" s="347"/>
      <c r="F131" s="349"/>
      <c r="G131" s="349"/>
      <c r="H131" s="348"/>
      <c r="I131" s="347"/>
      <c r="J131" s="348"/>
      <c r="K131" s="349"/>
      <c r="L131" s="348"/>
      <c r="M131" s="347"/>
      <c r="N131" s="347"/>
      <c r="O131" s="313"/>
      <c r="P131" s="313"/>
      <c r="Q131" s="313"/>
      <c r="R131" s="313"/>
      <c r="S131" s="313"/>
      <c r="T131" s="348"/>
      <c r="U131" s="349"/>
      <c r="V131" s="348"/>
      <c r="W131" s="349"/>
      <c r="X131" s="313"/>
      <c r="Y131" s="313"/>
      <c r="Z131" s="667"/>
      <c r="AA131" s="373"/>
      <c r="AB131" s="667"/>
      <c r="AC131" s="373"/>
      <c r="AD131" s="315"/>
      <c r="AE131" s="315"/>
      <c r="AF131" s="348"/>
      <c r="AG131" s="349"/>
      <c r="AH131" s="348"/>
      <c r="AI131" s="349"/>
      <c r="AJ131" s="313"/>
      <c r="AK131" s="313"/>
      <c r="AL131" s="667"/>
      <c r="AM131" s="373"/>
      <c r="AN131" s="667"/>
      <c r="AO131" s="373"/>
      <c r="AP131" s="315"/>
      <c r="AQ131" s="315"/>
      <c r="AR131" s="348"/>
      <c r="AS131" s="349"/>
      <c r="AT131" s="348"/>
      <c r="AU131" s="349"/>
      <c r="AV131" s="313"/>
      <c r="AW131" s="313"/>
      <c r="AX131" s="667"/>
      <c r="AY131" s="373"/>
      <c r="AZ131" s="667"/>
      <c r="BA131" s="373"/>
      <c r="BB131" s="315"/>
      <c r="BC131" s="315"/>
      <c r="BD131" s="313"/>
      <c r="BE131" s="349"/>
      <c r="BF131" s="348"/>
      <c r="BG131" s="349"/>
      <c r="BH131" s="313"/>
      <c r="BI131" s="313"/>
      <c r="BJ131" s="315"/>
      <c r="BK131" s="373"/>
      <c r="BL131" s="667"/>
      <c r="BM131" s="373"/>
      <c r="BN131" s="315"/>
      <c r="BO131" s="315"/>
      <c r="BP131" s="313"/>
      <c r="BQ131" s="349"/>
      <c r="BR131" s="313"/>
      <c r="BS131" s="349"/>
      <c r="BT131" s="313"/>
      <c r="BU131" s="313"/>
      <c r="BV131" s="315"/>
      <c r="BW131" s="373"/>
      <c r="BX131" s="315"/>
      <c r="BY131" s="373"/>
      <c r="BZ131" s="315"/>
      <c r="CA131" s="315"/>
      <c r="CB131" s="353"/>
      <c r="CC131" s="313"/>
      <c r="CD131" s="522"/>
      <c r="CE131" s="526"/>
      <c r="CF131" s="527"/>
      <c r="CG131" s="526"/>
      <c r="CH131" s="527"/>
      <c r="CI131" s="526"/>
      <c r="CJ131" s="527"/>
      <c r="CK131" s="526"/>
      <c r="CL131" s="527"/>
      <c r="CM131" s="526"/>
      <c r="CN131" s="527"/>
      <c r="CO131" s="526"/>
      <c r="CP131" s="527"/>
      <c r="CQ131" s="526"/>
      <c r="CR131" s="527"/>
      <c r="CS131" s="522"/>
      <c r="CT131" s="313"/>
      <c r="CU131" s="313"/>
      <c r="CV131" s="313"/>
      <c r="CW131" s="313"/>
      <c r="CX131" s="313"/>
      <c r="CY131" s="313"/>
      <c r="CZ131" s="313"/>
      <c r="DA131" s="313"/>
      <c r="DB131" s="313"/>
      <c r="DC131" s="313"/>
    </row>
    <row r="132" spans="1:107" s="2" customFormat="1">
      <c r="A132" s="347"/>
      <c r="B132" s="347"/>
      <c r="C132" s="268"/>
      <c r="D132" s="346"/>
      <c r="E132" s="347"/>
      <c r="F132" s="349"/>
      <c r="G132" s="349"/>
      <c r="H132" s="348"/>
      <c r="I132" s="347"/>
      <c r="J132" s="348"/>
      <c r="K132" s="349"/>
      <c r="L132" s="348"/>
      <c r="M132" s="347"/>
      <c r="N132" s="347"/>
      <c r="O132" s="313"/>
      <c r="P132" s="313"/>
      <c r="Q132" s="313"/>
      <c r="R132" s="313"/>
      <c r="S132" s="313"/>
      <c r="T132" s="348"/>
      <c r="U132" s="349"/>
      <c r="V132" s="348"/>
      <c r="W132" s="349"/>
      <c r="X132" s="313"/>
      <c r="Y132" s="313"/>
      <c r="Z132" s="667"/>
      <c r="AA132" s="373"/>
      <c r="AB132" s="667"/>
      <c r="AC132" s="373"/>
      <c r="AD132" s="315"/>
      <c r="AE132" s="315"/>
      <c r="AF132" s="348"/>
      <c r="AG132" s="349"/>
      <c r="AH132" s="348"/>
      <c r="AI132" s="349"/>
      <c r="AJ132" s="313"/>
      <c r="AK132" s="313"/>
      <c r="AL132" s="667"/>
      <c r="AM132" s="373"/>
      <c r="AN132" s="667"/>
      <c r="AO132" s="373"/>
      <c r="AP132" s="315"/>
      <c r="AQ132" s="315"/>
      <c r="AR132" s="348"/>
      <c r="AS132" s="349"/>
      <c r="AT132" s="348"/>
      <c r="AU132" s="349"/>
      <c r="AV132" s="313"/>
      <c r="AW132" s="313"/>
      <c r="AX132" s="667"/>
      <c r="AY132" s="373"/>
      <c r="AZ132" s="667"/>
      <c r="BA132" s="373"/>
      <c r="BB132" s="315"/>
      <c r="BC132" s="315"/>
      <c r="BD132" s="313"/>
      <c r="BE132" s="349"/>
      <c r="BF132" s="348"/>
      <c r="BG132" s="349"/>
      <c r="BH132" s="313"/>
      <c r="BI132" s="313"/>
      <c r="BJ132" s="315"/>
      <c r="BK132" s="373"/>
      <c r="BL132" s="667"/>
      <c r="BM132" s="373"/>
      <c r="BN132" s="315"/>
      <c r="BO132" s="315"/>
      <c r="BP132" s="313"/>
      <c r="BQ132" s="349"/>
      <c r="BR132" s="313"/>
      <c r="BS132" s="349"/>
      <c r="BT132" s="313"/>
      <c r="BU132" s="313"/>
      <c r="BV132" s="315"/>
      <c r="BW132" s="373"/>
      <c r="BX132" s="315"/>
      <c r="BY132" s="373"/>
      <c r="BZ132" s="315"/>
      <c r="CA132" s="315"/>
      <c r="CB132" s="353"/>
      <c r="CC132" s="313"/>
      <c r="CD132" s="522"/>
      <c r="CE132" s="526"/>
      <c r="CF132" s="527"/>
      <c r="CG132" s="526"/>
      <c r="CH132" s="527"/>
      <c r="CI132" s="526"/>
      <c r="CJ132" s="527"/>
      <c r="CK132" s="526"/>
      <c r="CL132" s="527"/>
      <c r="CM132" s="526"/>
      <c r="CN132" s="527"/>
      <c r="CO132" s="526"/>
      <c r="CP132" s="527"/>
      <c r="CQ132" s="526"/>
      <c r="CR132" s="527"/>
      <c r="CS132" s="522"/>
      <c r="CT132" s="313"/>
      <c r="CU132" s="313"/>
      <c r="CV132" s="313"/>
      <c r="CW132" s="313"/>
      <c r="CX132" s="313"/>
      <c r="CY132" s="313"/>
      <c r="CZ132" s="313"/>
      <c r="DA132" s="313"/>
      <c r="DB132" s="313"/>
      <c r="DC132" s="313"/>
    </row>
    <row r="133" spans="1:107" s="2" customFormat="1">
      <c r="A133" s="347"/>
      <c r="B133" s="347"/>
      <c r="C133" s="268"/>
      <c r="D133" s="346"/>
      <c r="E133" s="347"/>
      <c r="F133" s="349"/>
      <c r="G133" s="349"/>
      <c r="H133" s="348"/>
      <c r="I133" s="347"/>
      <c r="J133" s="348"/>
      <c r="K133" s="349"/>
      <c r="L133" s="348"/>
      <c r="M133" s="347"/>
      <c r="N133" s="347"/>
      <c r="O133" s="313"/>
      <c r="P133" s="313"/>
      <c r="Q133" s="313"/>
      <c r="R133" s="313"/>
      <c r="S133" s="313"/>
      <c r="T133" s="348"/>
      <c r="U133" s="349"/>
      <c r="V133" s="348"/>
      <c r="W133" s="349"/>
      <c r="X133" s="313"/>
      <c r="Y133" s="313"/>
      <c r="Z133" s="667"/>
      <c r="AA133" s="373"/>
      <c r="AB133" s="667"/>
      <c r="AC133" s="373"/>
      <c r="AD133" s="315"/>
      <c r="AE133" s="315"/>
      <c r="AF133" s="348"/>
      <c r="AG133" s="349"/>
      <c r="AH133" s="348"/>
      <c r="AI133" s="349"/>
      <c r="AJ133" s="313"/>
      <c r="AK133" s="313"/>
      <c r="AL133" s="667"/>
      <c r="AM133" s="373"/>
      <c r="AN133" s="667"/>
      <c r="AO133" s="373"/>
      <c r="AP133" s="315"/>
      <c r="AQ133" s="315"/>
      <c r="AR133" s="348"/>
      <c r="AS133" s="349"/>
      <c r="AT133" s="348"/>
      <c r="AU133" s="349"/>
      <c r="AV133" s="313"/>
      <c r="AW133" s="313"/>
      <c r="AX133" s="667"/>
      <c r="AY133" s="373"/>
      <c r="AZ133" s="667"/>
      <c r="BA133" s="373"/>
      <c r="BB133" s="315"/>
      <c r="BC133" s="315"/>
      <c r="BD133" s="313"/>
      <c r="BE133" s="349"/>
      <c r="BF133" s="348"/>
      <c r="BG133" s="349"/>
      <c r="BH133" s="313"/>
      <c r="BI133" s="313"/>
      <c r="BJ133" s="315"/>
      <c r="BK133" s="373"/>
      <c r="BL133" s="667"/>
      <c r="BM133" s="373"/>
      <c r="BN133" s="315"/>
      <c r="BO133" s="315"/>
      <c r="BP133" s="313"/>
      <c r="BQ133" s="349"/>
      <c r="BR133" s="313"/>
      <c r="BS133" s="349"/>
      <c r="BT133" s="313"/>
      <c r="BU133" s="313"/>
      <c r="BV133" s="315"/>
      <c r="BW133" s="373"/>
      <c r="BX133" s="315"/>
      <c r="BY133" s="373"/>
      <c r="BZ133" s="315"/>
      <c r="CA133" s="315"/>
      <c r="CB133" s="353"/>
      <c r="CC133" s="313"/>
      <c r="CD133" s="522"/>
      <c r="CE133" s="526"/>
      <c r="CF133" s="527"/>
      <c r="CG133" s="526"/>
      <c r="CH133" s="527"/>
      <c r="CI133" s="526"/>
      <c r="CJ133" s="527"/>
      <c r="CK133" s="526"/>
      <c r="CL133" s="527"/>
      <c r="CM133" s="526"/>
      <c r="CN133" s="527"/>
      <c r="CO133" s="526"/>
      <c r="CP133" s="527"/>
      <c r="CQ133" s="526"/>
      <c r="CR133" s="527"/>
      <c r="CS133" s="522"/>
      <c r="CT133" s="313"/>
      <c r="CU133" s="313"/>
      <c r="CV133" s="313"/>
      <c r="CW133" s="313"/>
      <c r="CX133" s="313"/>
      <c r="CY133" s="313"/>
      <c r="CZ133" s="313"/>
      <c r="DA133" s="313"/>
      <c r="DB133" s="313"/>
      <c r="DC133" s="313"/>
    </row>
    <row r="134" spans="1:107" s="2" customFormat="1">
      <c r="A134" s="347"/>
      <c r="B134" s="347"/>
      <c r="C134" s="268"/>
      <c r="D134" s="346"/>
      <c r="E134" s="347"/>
      <c r="F134" s="349"/>
      <c r="G134" s="349"/>
      <c r="H134" s="348"/>
      <c r="I134" s="347"/>
      <c r="J134" s="348"/>
      <c r="K134" s="349"/>
      <c r="L134" s="348"/>
      <c r="M134" s="347"/>
      <c r="N134" s="347"/>
      <c r="O134" s="313"/>
      <c r="P134" s="313"/>
      <c r="Q134" s="313"/>
      <c r="R134" s="313"/>
      <c r="S134" s="313"/>
      <c r="T134" s="348"/>
      <c r="U134" s="349"/>
      <c r="V134" s="348"/>
      <c r="W134" s="349"/>
      <c r="X134" s="313"/>
      <c r="Y134" s="313"/>
      <c r="Z134" s="667"/>
      <c r="AA134" s="373"/>
      <c r="AB134" s="667"/>
      <c r="AC134" s="373"/>
      <c r="AD134" s="315"/>
      <c r="AE134" s="315"/>
      <c r="AF134" s="348"/>
      <c r="AG134" s="349"/>
      <c r="AH134" s="348"/>
      <c r="AI134" s="349"/>
      <c r="AJ134" s="313"/>
      <c r="AK134" s="313"/>
      <c r="AL134" s="667"/>
      <c r="AM134" s="373"/>
      <c r="AN134" s="667"/>
      <c r="AO134" s="373"/>
      <c r="AP134" s="315"/>
      <c r="AQ134" s="315"/>
      <c r="AR134" s="348"/>
      <c r="AS134" s="349"/>
      <c r="AT134" s="348"/>
      <c r="AU134" s="349"/>
      <c r="AV134" s="313"/>
      <c r="AW134" s="313"/>
      <c r="AX134" s="667"/>
      <c r="AY134" s="373"/>
      <c r="AZ134" s="667"/>
      <c r="BA134" s="373"/>
      <c r="BB134" s="315"/>
      <c r="BC134" s="315"/>
      <c r="BD134" s="313"/>
      <c r="BE134" s="349"/>
      <c r="BF134" s="348"/>
      <c r="BG134" s="349"/>
      <c r="BH134" s="313"/>
      <c r="BI134" s="313"/>
      <c r="BJ134" s="315"/>
      <c r="BK134" s="373"/>
      <c r="BL134" s="667"/>
      <c r="BM134" s="373"/>
      <c r="BN134" s="315"/>
      <c r="BO134" s="315"/>
      <c r="BP134" s="313"/>
      <c r="BQ134" s="349"/>
      <c r="BR134" s="313"/>
      <c r="BS134" s="349"/>
      <c r="BT134" s="313"/>
      <c r="BU134" s="313"/>
      <c r="BV134" s="315"/>
      <c r="BW134" s="373"/>
      <c r="BX134" s="315"/>
      <c r="BY134" s="373"/>
      <c r="BZ134" s="315"/>
      <c r="CA134" s="315"/>
      <c r="CB134" s="353"/>
      <c r="CC134" s="313"/>
      <c r="CD134" s="522"/>
      <c r="CE134" s="526"/>
      <c r="CF134" s="527"/>
      <c r="CG134" s="526"/>
      <c r="CH134" s="527"/>
      <c r="CI134" s="526"/>
      <c r="CJ134" s="527"/>
      <c r="CK134" s="526"/>
      <c r="CL134" s="527"/>
      <c r="CM134" s="526"/>
      <c r="CN134" s="527"/>
      <c r="CO134" s="526"/>
      <c r="CP134" s="527"/>
      <c r="CQ134" s="526"/>
      <c r="CR134" s="527"/>
      <c r="CS134" s="522"/>
      <c r="CT134" s="313"/>
      <c r="CU134" s="313"/>
      <c r="CV134" s="313"/>
      <c r="CW134" s="313"/>
      <c r="CX134" s="313"/>
      <c r="CY134" s="313"/>
      <c r="CZ134" s="313"/>
      <c r="DA134" s="313"/>
      <c r="DB134" s="313"/>
      <c r="DC134" s="313"/>
    </row>
    <row r="135" spans="1:107" s="2" customFormat="1">
      <c r="A135" s="347"/>
      <c r="B135" s="347"/>
      <c r="C135" s="268"/>
      <c r="D135" s="346"/>
      <c r="E135" s="347"/>
      <c r="F135" s="349"/>
      <c r="G135" s="349"/>
      <c r="H135" s="348"/>
      <c r="I135" s="347"/>
      <c r="J135" s="348"/>
      <c r="K135" s="349"/>
      <c r="L135" s="348"/>
      <c r="M135" s="347"/>
      <c r="N135" s="347"/>
      <c r="O135" s="313"/>
      <c r="P135" s="313"/>
      <c r="Q135" s="313"/>
      <c r="R135" s="313"/>
      <c r="S135" s="313"/>
      <c r="T135" s="348"/>
      <c r="U135" s="349"/>
      <c r="V135" s="348"/>
      <c r="W135" s="349"/>
      <c r="X135" s="313"/>
      <c r="Y135" s="313"/>
      <c r="Z135" s="667"/>
      <c r="AA135" s="373"/>
      <c r="AB135" s="667"/>
      <c r="AC135" s="373"/>
      <c r="AD135" s="315"/>
      <c r="AE135" s="315"/>
      <c r="AF135" s="348"/>
      <c r="AG135" s="349"/>
      <c r="AH135" s="348"/>
      <c r="AI135" s="349"/>
      <c r="AJ135" s="313"/>
      <c r="AK135" s="313"/>
      <c r="AL135" s="667"/>
      <c r="AM135" s="373"/>
      <c r="AN135" s="667"/>
      <c r="AO135" s="373"/>
      <c r="AP135" s="315"/>
      <c r="AQ135" s="315"/>
      <c r="AR135" s="348"/>
      <c r="AS135" s="349"/>
      <c r="AT135" s="348"/>
      <c r="AU135" s="349"/>
      <c r="AV135" s="313"/>
      <c r="AW135" s="313"/>
      <c r="AX135" s="667"/>
      <c r="AY135" s="373"/>
      <c r="AZ135" s="667"/>
      <c r="BA135" s="373"/>
      <c r="BB135" s="315"/>
      <c r="BC135" s="315"/>
      <c r="BD135" s="313"/>
      <c r="BE135" s="349"/>
      <c r="BF135" s="348"/>
      <c r="BG135" s="349"/>
      <c r="BH135" s="313"/>
      <c r="BI135" s="313"/>
      <c r="BJ135" s="315"/>
      <c r="BK135" s="373"/>
      <c r="BL135" s="667"/>
      <c r="BM135" s="373"/>
      <c r="BN135" s="315"/>
      <c r="BO135" s="315"/>
      <c r="BP135" s="313"/>
      <c r="BQ135" s="349"/>
      <c r="BR135" s="313"/>
      <c r="BS135" s="349"/>
      <c r="BT135" s="313"/>
      <c r="BU135" s="313"/>
      <c r="BV135" s="315"/>
      <c r="BW135" s="373"/>
      <c r="BX135" s="315"/>
      <c r="BY135" s="373"/>
      <c r="BZ135" s="315"/>
      <c r="CA135" s="315"/>
      <c r="CB135" s="353"/>
      <c r="CC135" s="313"/>
      <c r="CD135" s="522"/>
      <c r="CE135" s="526"/>
      <c r="CF135" s="527"/>
      <c r="CG135" s="526"/>
      <c r="CH135" s="527"/>
      <c r="CI135" s="526"/>
      <c r="CJ135" s="527"/>
      <c r="CK135" s="526"/>
      <c r="CL135" s="527"/>
      <c r="CM135" s="526"/>
      <c r="CN135" s="527"/>
      <c r="CO135" s="526"/>
      <c r="CP135" s="527"/>
      <c r="CQ135" s="526"/>
      <c r="CR135" s="527"/>
      <c r="CS135" s="522"/>
      <c r="CT135" s="313"/>
      <c r="CU135" s="313"/>
      <c r="CV135" s="313"/>
      <c r="CW135" s="313"/>
      <c r="CX135" s="313"/>
      <c r="CY135" s="313"/>
      <c r="CZ135" s="313"/>
      <c r="DA135" s="313"/>
      <c r="DB135" s="313"/>
      <c r="DC135" s="313"/>
    </row>
    <row r="136" spans="1:107" s="2" customFormat="1">
      <c r="A136" s="347"/>
      <c r="B136" s="347"/>
      <c r="C136" s="268"/>
      <c r="D136" s="346"/>
      <c r="E136" s="347"/>
      <c r="F136" s="349"/>
      <c r="G136" s="349"/>
      <c r="H136" s="348"/>
      <c r="I136" s="347"/>
      <c r="J136" s="348"/>
      <c r="K136" s="349"/>
      <c r="L136" s="348"/>
      <c r="M136" s="347"/>
      <c r="N136" s="347"/>
      <c r="O136" s="313"/>
      <c r="P136" s="313"/>
      <c r="Q136" s="313"/>
      <c r="R136" s="313"/>
      <c r="S136" s="313"/>
      <c r="T136" s="348"/>
      <c r="U136" s="349"/>
      <c r="V136" s="348"/>
      <c r="W136" s="349"/>
      <c r="X136" s="313"/>
      <c r="Y136" s="313"/>
      <c r="Z136" s="667"/>
      <c r="AA136" s="373"/>
      <c r="AB136" s="667"/>
      <c r="AC136" s="373"/>
      <c r="AD136" s="315"/>
      <c r="AE136" s="315"/>
      <c r="AF136" s="348"/>
      <c r="AG136" s="349"/>
      <c r="AH136" s="348"/>
      <c r="AI136" s="349"/>
      <c r="AJ136" s="313"/>
      <c r="AK136" s="313"/>
      <c r="AL136" s="667"/>
      <c r="AM136" s="373"/>
      <c r="AN136" s="667"/>
      <c r="AO136" s="373"/>
      <c r="AP136" s="315"/>
      <c r="AQ136" s="315"/>
      <c r="AR136" s="348"/>
      <c r="AS136" s="349"/>
      <c r="AT136" s="348"/>
      <c r="AU136" s="349"/>
      <c r="AV136" s="313"/>
      <c r="AW136" s="313"/>
      <c r="AX136" s="667"/>
      <c r="AY136" s="373"/>
      <c r="AZ136" s="667"/>
      <c r="BA136" s="373"/>
      <c r="BB136" s="315"/>
      <c r="BC136" s="315"/>
      <c r="BD136" s="313"/>
      <c r="BE136" s="349"/>
      <c r="BF136" s="348"/>
      <c r="BG136" s="349"/>
      <c r="BH136" s="313"/>
      <c r="BI136" s="313"/>
      <c r="BJ136" s="315"/>
      <c r="BK136" s="373"/>
      <c r="BL136" s="667"/>
      <c r="BM136" s="373"/>
      <c r="BN136" s="315"/>
      <c r="BO136" s="315"/>
      <c r="BP136" s="313"/>
      <c r="BQ136" s="349"/>
      <c r="BR136" s="313"/>
      <c r="BS136" s="349"/>
      <c r="BT136" s="313"/>
      <c r="BU136" s="313"/>
      <c r="BV136" s="315"/>
      <c r="BW136" s="373"/>
      <c r="BX136" s="315"/>
      <c r="BY136" s="373"/>
      <c r="BZ136" s="315"/>
      <c r="CA136" s="315"/>
      <c r="CB136" s="353"/>
      <c r="CC136" s="313"/>
      <c r="CD136" s="522"/>
      <c r="CE136" s="526"/>
      <c r="CF136" s="527"/>
      <c r="CG136" s="526"/>
      <c r="CH136" s="527"/>
      <c r="CI136" s="526"/>
      <c r="CJ136" s="527"/>
      <c r="CK136" s="526"/>
      <c r="CL136" s="527"/>
      <c r="CM136" s="526"/>
      <c r="CN136" s="527"/>
      <c r="CO136" s="526"/>
      <c r="CP136" s="527"/>
      <c r="CQ136" s="526"/>
      <c r="CR136" s="527"/>
      <c r="CS136" s="522"/>
      <c r="CT136" s="313"/>
      <c r="CU136" s="313"/>
      <c r="CV136" s="313"/>
      <c r="CW136" s="313"/>
      <c r="CX136" s="313"/>
      <c r="CY136" s="313"/>
      <c r="CZ136" s="313"/>
      <c r="DA136" s="313"/>
      <c r="DB136" s="313"/>
      <c r="DC136" s="313"/>
    </row>
    <row r="137" spans="1:107" s="2" customFormat="1">
      <c r="A137" s="347"/>
      <c r="B137" s="347"/>
      <c r="C137" s="268"/>
      <c r="D137" s="346"/>
      <c r="E137" s="347"/>
      <c r="F137" s="349"/>
      <c r="G137" s="349"/>
      <c r="H137" s="348"/>
      <c r="I137" s="347"/>
      <c r="J137" s="348"/>
      <c r="K137" s="349"/>
      <c r="L137" s="348"/>
      <c r="M137" s="347"/>
      <c r="N137" s="347"/>
      <c r="O137" s="313"/>
      <c r="P137" s="313"/>
      <c r="Q137" s="313"/>
      <c r="R137" s="313"/>
      <c r="S137" s="313"/>
      <c r="T137" s="348"/>
      <c r="U137" s="349"/>
      <c r="V137" s="348"/>
      <c r="W137" s="349"/>
      <c r="X137" s="313"/>
      <c r="Y137" s="313"/>
      <c r="Z137" s="667"/>
      <c r="AA137" s="373"/>
      <c r="AB137" s="667"/>
      <c r="AC137" s="373"/>
      <c r="AD137" s="315"/>
      <c r="AE137" s="315"/>
      <c r="AF137" s="348"/>
      <c r="AG137" s="349"/>
      <c r="AH137" s="348"/>
      <c r="AI137" s="349"/>
      <c r="AJ137" s="313"/>
      <c r="AK137" s="313"/>
      <c r="AL137" s="667"/>
      <c r="AM137" s="373"/>
      <c r="AN137" s="667"/>
      <c r="AO137" s="373"/>
      <c r="AP137" s="315"/>
      <c r="AQ137" s="315"/>
      <c r="AR137" s="348"/>
      <c r="AS137" s="349"/>
      <c r="AT137" s="348"/>
      <c r="AU137" s="349"/>
      <c r="AV137" s="313"/>
      <c r="AW137" s="313"/>
      <c r="AX137" s="667"/>
      <c r="AY137" s="373"/>
      <c r="AZ137" s="667"/>
      <c r="BA137" s="373"/>
      <c r="BB137" s="315"/>
      <c r="BC137" s="315"/>
      <c r="BD137" s="313"/>
      <c r="BE137" s="349"/>
      <c r="BF137" s="348"/>
      <c r="BG137" s="349"/>
      <c r="BH137" s="313"/>
      <c r="BI137" s="313"/>
      <c r="BJ137" s="315"/>
      <c r="BK137" s="373"/>
      <c r="BL137" s="667"/>
      <c r="BM137" s="373"/>
      <c r="BN137" s="315"/>
      <c r="BO137" s="315"/>
      <c r="BP137" s="313"/>
      <c r="BQ137" s="349"/>
      <c r="BR137" s="313"/>
      <c r="BS137" s="349"/>
      <c r="BT137" s="313"/>
      <c r="BU137" s="313"/>
      <c r="BV137" s="315"/>
      <c r="BW137" s="373"/>
      <c r="BX137" s="315"/>
      <c r="BY137" s="373"/>
      <c r="BZ137" s="315"/>
      <c r="CA137" s="315"/>
      <c r="CB137" s="353"/>
      <c r="CC137" s="313"/>
      <c r="CD137" s="522"/>
      <c r="CE137" s="526"/>
      <c r="CF137" s="527"/>
      <c r="CG137" s="526"/>
      <c r="CH137" s="527"/>
      <c r="CI137" s="526"/>
      <c r="CJ137" s="527"/>
      <c r="CK137" s="526"/>
      <c r="CL137" s="527"/>
      <c r="CM137" s="526"/>
      <c r="CN137" s="527"/>
      <c r="CO137" s="526"/>
      <c r="CP137" s="527"/>
      <c r="CQ137" s="526"/>
      <c r="CR137" s="527"/>
      <c r="CS137" s="522"/>
      <c r="CT137" s="313"/>
      <c r="CU137" s="313"/>
      <c r="CV137" s="313"/>
      <c r="CW137" s="313"/>
      <c r="CX137" s="313"/>
      <c r="CY137" s="313"/>
      <c r="CZ137" s="313"/>
      <c r="DA137" s="313"/>
      <c r="DB137" s="313"/>
      <c r="DC137" s="313"/>
    </row>
    <row r="138" spans="1:107" s="2" customFormat="1">
      <c r="A138" s="347"/>
      <c r="B138" s="347"/>
      <c r="C138" s="268"/>
      <c r="D138" s="346"/>
      <c r="E138" s="347"/>
      <c r="F138" s="349"/>
      <c r="G138" s="349"/>
      <c r="H138" s="348"/>
      <c r="I138" s="347"/>
      <c r="J138" s="348"/>
      <c r="K138" s="349"/>
      <c r="L138" s="348"/>
      <c r="M138" s="347"/>
      <c r="N138" s="347"/>
      <c r="O138" s="313"/>
      <c r="P138" s="313"/>
      <c r="Q138" s="313"/>
      <c r="R138" s="313"/>
      <c r="S138" s="313"/>
      <c r="T138" s="348"/>
      <c r="U138" s="349"/>
      <c r="V138" s="348"/>
      <c r="W138" s="349"/>
      <c r="X138" s="313"/>
      <c r="Y138" s="313"/>
      <c r="Z138" s="667"/>
      <c r="AA138" s="373"/>
      <c r="AB138" s="667"/>
      <c r="AC138" s="373"/>
      <c r="AD138" s="315"/>
      <c r="AE138" s="315"/>
      <c r="AF138" s="348"/>
      <c r="AG138" s="349"/>
      <c r="AH138" s="348"/>
      <c r="AI138" s="349"/>
      <c r="AJ138" s="313"/>
      <c r="AK138" s="313"/>
      <c r="AL138" s="667"/>
      <c r="AM138" s="373"/>
      <c r="AN138" s="667"/>
      <c r="AO138" s="373"/>
      <c r="AP138" s="315"/>
      <c r="AQ138" s="315"/>
      <c r="AR138" s="348"/>
      <c r="AS138" s="349"/>
      <c r="AT138" s="348"/>
      <c r="AU138" s="349"/>
      <c r="AV138" s="313"/>
      <c r="AW138" s="313"/>
      <c r="AX138" s="667"/>
      <c r="AY138" s="373"/>
      <c r="AZ138" s="667"/>
      <c r="BA138" s="373"/>
      <c r="BB138" s="315"/>
      <c r="BC138" s="315"/>
      <c r="BD138" s="313"/>
      <c r="BE138" s="349"/>
      <c r="BF138" s="348"/>
      <c r="BG138" s="349"/>
      <c r="BH138" s="313"/>
      <c r="BI138" s="313"/>
      <c r="BJ138" s="315"/>
      <c r="BK138" s="373"/>
      <c r="BL138" s="667"/>
      <c r="BM138" s="373"/>
      <c r="BN138" s="315"/>
      <c r="BO138" s="315"/>
      <c r="BP138" s="313"/>
      <c r="BQ138" s="349"/>
      <c r="BR138" s="313"/>
      <c r="BS138" s="349"/>
      <c r="BT138" s="313"/>
      <c r="BU138" s="313"/>
      <c r="BV138" s="315"/>
      <c r="BW138" s="373"/>
      <c r="BX138" s="315"/>
      <c r="BY138" s="373"/>
      <c r="BZ138" s="315"/>
      <c r="CA138" s="315"/>
      <c r="CB138" s="353"/>
      <c r="CC138" s="313"/>
      <c r="CD138" s="522"/>
      <c r="CE138" s="526"/>
      <c r="CF138" s="527"/>
      <c r="CG138" s="526"/>
      <c r="CH138" s="527"/>
      <c r="CI138" s="526"/>
      <c r="CJ138" s="527"/>
      <c r="CK138" s="526"/>
      <c r="CL138" s="527"/>
      <c r="CM138" s="526"/>
      <c r="CN138" s="527"/>
      <c r="CO138" s="526"/>
      <c r="CP138" s="527"/>
      <c r="CQ138" s="526"/>
      <c r="CR138" s="527"/>
      <c r="CS138" s="522"/>
      <c r="CT138" s="313"/>
      <c r="CU138" s="313"/>
      <c r="CV138" s="313"/>
      <c r="CW138" s="313"/>
      <c r="CX138" s="313"/>
      <c r="CY138" s="313"/>
      <c r="CZ138" s="313"/>
      <c r="DA138" s="313"/>
      <c r="DB138" s="313"/>
      <c r="DC138" s="313"/>
    </row>
    <row r="139" spans="1:107" s="2" customFormat="1">
      <c r="A139" s="347"/>
      <c r="B139" s="347"/>
      <c r="C139" s="268"/>
      <c r="D139" s="346"/>
      <c r="E139" s="347"/>
      <c r="F139" s="349"/>
      <c r="G139" s="349"/>
      <c r="H139" s="348"/>
      <c r="I139" s="347"/>
      <c r="J139" s="348"/>
      <c r="K139" s="349"/>
      <c r="L139" s="348"/>
      <c r="M139" s="347"/>
      <c r="N139" s="347"/>
      <c r="O139" s="313"/>
      <c r="P139" s="313"/>
      <c r="Q139" s="313"/>
      <c r="R139" s="313"/>
      <c r="S139" s="313"/>
      <c r="T139" s="348"/>
      <c r="U139" s="349"/>
      <c r="V139" s="348"/>
      <c r="W139" s="349"/>
      <c r="X139" s="313"/>
      <c r="Y139" s="313"/>
      <c r="Z139" s="667"/>
      <c r="AA139" s="373"/>
      <c r="AB139" s="667"/>
      <c r="AC139" s="373"/>
      <c r="AD139" s="315"/>
      <c r="AE139" s="315"/>
      <c r="AF139" s="348"/>
      <c r="AG139" s="349"/>
      <c r="AH139" s="348"/>
      <c r="AI139" s="349"/>
      <c r="AJ139" s="313"/>
      <c r="AK139" s="313"/>
      <c r="AL139" s="667"/>
      <c r="AM139" s="373"/>
      <c r="AN139" s="667"/>
      <c r="AO139" s="373"/>
      <c r="AP139" s="315"/>
      <c r="AQ139" s="315"/>
      <c r="AR139" s="348"/>
      <c r="AS139" s="349"/>
      <c r="AT139" s="348"/>
      <c r="AU139" s="349"/>
      <c r="AV139" s="313"/>
      <c r="AW139" s="313"/>
      <c r="AX139" s="667"/>
      <c r="AY139" s="373"/>
      <c r="AZ139" s="667"/>
      <c r="BA139" s="373"/>
      <c r="BB139" s="315"/>
      <c r="BC139" s="315"/>
      <c r="BD139" s="313"/>
      <c r="BE139" s="349"/>
      <c r="BF139" s="348"/>
      <c r="BG139" s="349"/>
      <c r="BH139" s="313"/>
      <c r="BI139" s="313"/>
      <c r="BJ139" s="315"/>
      <c r="BK139" s="373"/>
      <c r="BL139" s="667"/>
      <c r="BM139" s="373"/>
      <c r="BN139" s="315"/>
      <c r="BO139" s="315"/>
      <c r="BP139" s="313"/>
      <c r="BQ139" s="349"/>
      <c r="BR139" s="313"/>
      <c r="BS139" s="349"/>
      <c r="BT139" s="313"/>
      <c r="BU139" s="313"/>
      <c r="BV139" s="315"/>
      <c r="BW139" s="373"/>
      <c r="BX139" s="315"/>
      <c r="BY139" s="373"/>
      <c r="BZ139" s="315"/>
      <c r="CA139" s="315"/>
      <c r="CB139" s="353"/>
      <c r="CC139" s="313"/>
      <c r="CD139" s="522"/>
      <c r="CE139" s="526"/>
      <c r="CF139" s="527"/>
      <c r="CG139" s="526"/>
      <c r="CH139" s="527"/>
      <c r="CI139" s="526"/>
      <c r="CJ139" s="527"/>
      <c r="CK139" s="526"/>
      <c r="CL139" s="527"/>
      <c r="CM139" s="526"/>
      <c r="CN139" s="527"/>
      <c r="CO139" s="526"/>
      <c r="CP139" s="527"/>
      <c r="CQ139" s="526"/>
      <c r="CR139" s="527"/>
      <c r="CS139" s="522"/>
      <c r="CT139" s="313"/>
      <c r="CU139" s="313"/>
      <c r="CV139" s="313"/>
      <c r="CW139" s="313"/>
      <c r="CX139" s="313"/>
      <c r="CY139" s="313"/>
      <c r="CZ139" s="313"/>
      <c r="DA139" s="313"/>
      <c r="DB139" s="313"/>
      <c r="DC139" s="313"/>
    </row>
    <row r="140" spans="1:107" s="2" customFormat="1">
      <c r="A140" s="347"/>
      <c r="B140" s="347"/>
      <c r="C140" s="268"/>
      <c r="D140" s="346"/>
      <c r="E140" s="347"/>
      <c r="F140" s="349"/>
      <c r="G140" s="349"/>
      <c r="H140" s="348"/>
      <c r="I140" s="347"/>
      <c r="J140" s="348"/>
      <c r="K140" s="349"/>
      <c r="L140" s="348"/>
      <c r="M140" s="347"/>
      <c r="N140" s="347"/>
      <c r="O140" s="313"/>
      <c r="P140" s="313"/>
      <c r="Q140" s="313"/>
      <c r="R140" s="313"/>
      <c r="S140" s="313"/>
      <c r="T140" s="348"/>
      <c r="U140" s="349"/>
      <c r="V140" s="348"/>
      <c r="W140" s="349"/>
      <c r="X140" s="313"/>
      <c r="Y140" s="313"/>
      <c r="Z140" s="667"/>
      <c r="AA140" s="373"/>
      <c r="AB140" s="667"/>
      <c r="AC140" s="373"/>
      <c r="AD140" s="315"/>
      <c r="AE140" s="315"/>
      <c r="AF140" s="348"/>
      <c r="AG140" s="349"/>
      <c r="AH140" s="348"/>
      <c r="AI140" s="349"/>
      <c r="AJ140" s="313"/>
      <c r="AK140" s="313"/>
      <c r="AL140" s="667"/>
      <c r="AM140" s="373"/>
      <c r="AN140" s="667"/>
      <c r="AO140" s="373"/>
      <c r="AP140" s="315"/>
      <c r="AQ140" s="315"/>
      <c r="AR140" s="348"/>
      <c r="AS140" s="349"/>
      <c r="AT140" s="348"/>
      <c r="AU140" s="349"/>
      <c r="AV140" s="313"/>
      <c r="AW140" s="313"/>
      <c r="AX140" s="667"/>
      <c r="AY140" s="373"/>
      <c r="AZ140" s="667"/>
      <c r="BA140" s="373"/>
      <c r="BB140" s="315"/>
      <c r="BC140" s="315"/>
      <c r="BD140" s="313"/>
      <c r="BE140" s="349"/>
      <c r="BF140" s="348"/>
      <c r="BG140" s="349"/>
      <c r="BH140" s="313"/>
      <c r="BI140" s="313"/>
      <c r="BJ140" s="315"/>
      <c r="BK140" s="373"/>
      <c r="BL140" s="667"/>
      <c r="BM140" s="373"/>
      <c r="BN140" s="315"/>
      <c r="BO140" s="315"/>
      <c r="BP140" s="313"/>
      <c r="BQ140" s="349"/>
      <c r="BR140" s="313"/>
      <c r="BS140" s="349"/>
      <c r="BT140" s="313"/>
      <c r="BU140" s="313"/>
      <c r="BV140" s="315"/>
      <c r="BW140" s="373"/>
      <c r="BX140" s="315"/>
      <c r="BY140" s="373"/>
      <c r="BZ140" s="315"/>
      <c r="CA140" s="315"/>
      <c r="CB140" s="353"/>
      <c r="CC140" s="313"/>
      <c r="CD140" s="522"/>
      <c r="CE140" s="526"/>
      <c r="CF140" s="527"/>
      <c r="CG140" s="526"/>
      <c r="CH140" s="527"/>
      <c r="CI140" s="526"/>
      <c r="CJ140" s="527"/>
      <c r="CK140" s="526"/>
      <c r="CL140" s="527"/>
      <c r="CM140" s="526"/>
      <c r="CN140" s="527"/>
      <c r="CO140" s="526"/>
      <c r="CP140" s="527"/>
      <c r="CQ140" s="526"/>
      <c r="CR140" s="527"/>
      <c r="CS140" s="522"/>
      <c r="CT140" s="313"/>
      <c r="CU140" s="313"/>
      <c r="CV140" s="313"/>
      <c r="CW140" s="313"/>
      <c r="CX140" s="313"/>
      <c r="CY140" s="313"/>
      <c r="CZ140" s="313"/>
      <c r="DA140" s="313"/>
      <c r="DB140" s="313"/>
      <c r="DC140" s="313"/>
    </row>
    <row r="141" spans="1:107" s="2" customFormat="1">
      <c r="A141" s="347"/>
      <c r="B141" s="347"/>
      <c r="C141" s="268"/>
      <c r="D141" s="346"/>
      <c r="E141" s="347"/>
      <c r="F141" s="349"/>
      <c r="G141" s="349"/>
      <c r="H141" s="348"/>
      <c r="I141" s="347"/>
      <c r="J141" s="348"/>
      <c r="K141" s="349"/>
      <c r="L141" s="348"/>
      <c r="M141" s="347"/>
      <c r="N141" s="347"/>
      <c r="O141" s="313"/>
      <c r="P141" s="313"/>
      <c r="Q141" s="313"/>
      <c r="R141" s="313"/>
      <c r="S141" s="313"/>
      <c r="T141" s="348"/>
      <c r="U141" s="349"/>
      <c r="V141" s="348"/>
      <c r="W141" s="349"/>
      <c r="X141" s="313"/>
      <c r="Y141" s="313"/>
      <c r="Z141" s="667"/>
      <c r="AA141" s="373"/>
      <c r="AB141" s="667"/>
      <c r="AC141" s="373"/>
      <c r="AD141" s="315"/>
      <c r="AE141" s="315"/>
      <c r="AF141" s="348"/>
      <c r="AG141" s="349"/>
      <c r="AH141" s="348"/>
      <c r="AI141" s="349"/>
      <c r="AJ141" s="313"/>
      <c r="AK141" s="313"/>
      <c r="AL141" s="667"/>
      <c r="AM141" s="373"/>
      <c r="AN141" s="667"/>
      <c r="AO141" s="373"/>
      <c r="AP141" s="315"/>
      <c r="AQ141" s="315"/>
      <c r="AR141" s="348"/>
      <c r="AS141" s="349"/>
      <c r="AT141" s="348"/>
      <c r="AU141" s="349"/>
      <c r="AV141" s="313"/>
      <c r="AW141" s="313"/>
      <c r="AX141" s="667"/>
      <c r="AY141" s="373"/>
      <c r="AZ141" s="667"/>
      <c r="BA141" s="373"/>
      <c r="BB141" s="315"/>
      <c r="BC141" s="315"/>
      <c r="BD141" s="313"/>
      <c r="BE141" s="349"/>
      <c r="BF141" s="348"/>
      <c r="BG141" s="349"/>
      <c r="BH141" s="313"/>
      <c r="BI141" s="313"/>
      <c r="BJ141" s="315"/>
      <c r="BK141" s="373"/>
      <c r="BL141" s="667"/>
      <c r="BM141" s="373"/>
      <c r="BN141" s="315"/>
      <c r="BO141" s="315"/>
      <c r="BP141" s="313"/>
      <c r="BQ141" s="349"/>
      <c r="BR141" s="313"/>
      <c r="BS141" s="349"/>
      <c r="BT141" s="313"/>
      <c r="BU141" s="313"/>
      <c r="BV141" s="315"/>
      <c r="BW141" s="373"/>
      <c r="BX141" s="315"/>
      <c r="BY141" s="373"/>
      <c r="BZ141" s="315"/>
      <c r="CA141" s="315"/>
      <c r="CB141" s="353"/>
      <c r="CC141" s="313"/>
      <c r="CD141" s="522"/>
      <c r="CE141" s="526"/>
      <c r="CF141" s="527"/>
      <c r="CG141" s="526"/>
      <c r="CH141" s="527"/>
      <c r="CI141" s="526"/>
      <c r="CJ141" s="527"/>
      <c r="CK141" s="526"/>
      <c r="CL141" s="527"/>
      <c r="CM141" s="526"/>
      <c r="CN141" s="527"/>
      <c r="CO141" s="526"/>
      <c r="CP141" s="527"/>
      <c r="CQ141" s="526"/>
      <c r="CR141" s="527"/>
      <c r="CS141" s="522"/>
      <c r="CT141" s="313"/>
      <c r="CU141" s="313"/>
      <c r="CV141" s="313"/>
      <c r="CW141" s="313"/>
      <c r="CX141" s="313"/>
      <c r="CY141" s="313"/>
      <c r="CZ141" s="313"/>
      <c r="DA141" s="313"/>
      <c r="DB141" s="313"/>
      <c r="DC141" s="313"/>
    </row>
    <row r="142" spans="1:107" s="2" customFormat="1">
      <c r="A142" s="347"/>
      <c r="B142" s="347"/>
      <c r="C142" s="268"/>
      <c r="D142" s="346"/>
      <c r="E142" s="347"/>
      <c r="F142" s="349"/>
      <c r="G142" s="349"/>
      <c r="H142" s="348"/>
      <c r="I142" s="347"/>
      <c r="J142" s="348"/>
      <c r="K142" s="349"/>
      <c r="L142" s="348"/>
      <c r="M142" s="347"/>
      <c r="N142" s="347"/>
      <c r="O142" s="313"/>
      <c r="P142" s="313"/>
      <c r="Q142" s="313"/>
      <c r="R142" s="313"/>
      <c r="S142" s="313"/>
      <c r="T142" s="348"/>
      <c r="U142" s="349"/>
      <c r="V142" s="348"/>
      <c r="W142" s="349"/>
      <c r="X142" s="313"/>
      <c r="Y142" s="313"/>
      <c r="Z142" s="667"/>
      <c r="AA142" s="373"/>
      <c r="AB142" s="667"/>
      <c r="AC142" s="373"/>
      <c r="AD142" s="315"/>
      <c r="AE142" s="315"/>
      <c r="AF142" s="348"/>
      <c r="AG142" s="349"/>
      <c r="AH142" s="348"/>
      <c r="AI142" s="349"/>
      <c r="AJ142" s="313"/>
      <c r="AK142" s="313"/>
      <c r="AL142" s="667"/>
      <c r="AM142" s="373"/>
      <c r="AN142" s="667"/>
      <c r="AO142" s="373"/>
      <c r="AP142" s="315"/>
      <c r="AQ142" s="315"/>
      <c r="AR142" s="348"/>
      <c r="AS142" s="349"/>
      <c r="AT142" s="348"/>
      <c r="AU142" s="349"/>
      <c r="AV142" s="313"/>
      <c r="AW142" s="313"/>
      <c r="AX142" s="667"/>
      <c r="AY142" s="373"/>
      <c r="AZ142" s="667"/>
      <c r="BA142" s="373"/>
      <c r="BB142" s="315"/>
      <c r="BC142" s="315"/>
      <c r="BD142" s="313"/>
      <c r="BE142" s="349"/>
      <c r="BF142" s="348"/>
      <c r="BG142" s="349"/>
      <c r="BH142" s="313"/>
      <c r="BI142" s="313"/>
      <c r="BJ142" s="315"/>
      <c r="BK142" s="373"/>
      <c r="BL142" s="667"/>
      <c r="BM142" s="373"/>
      <c r="BN142" s="315"/>
      <c r="BO142" s="315"/>
      <c r="BP142" s="313"/>
      <c r="BQ142" s="349"/>
      <c r="BR142" s="313"/>
      <c r="BS142" s="349"/>
      <c r="BT142" s="313"/>
      <c r="BU142" s="313"/>
      <c r="BV142" s="315"/>
      <c r="BW142" s="373"/>
      <c r="BX142" s="315"/>
      <c r="BY142" s="373"/>
      <c r="BZ142" s="315"/>
      <c r="CA142" s="315"/>
      <c r="CB142" s="353"/>
      <c r="CC142" s="313"/>
      <c r="CD142" s="522"/>
      <c r="CE142" s="526"/>
      <c r="CF142" s="527"/>
      <c r="CG142" s="526"/>
      <c r="CH142" s="527"/>
      <c r="CI142" s="526"/>
      <c r="CJ142" s="527"/>
      <c r="CK142" s="526"/>
      <c r="CL142" s="527"/>
      <c r="CM142" s="526"/>
      <c r="CN142" s="527"/>
      <c r="CO142" s="526"/>
      <c r="CP142" s="527"/>
      <c r="CQ142" s="526"/>
      <c r="CR142" s="527"/>
      <c r="CS142" s="522"/>
      <c r="CT142" s="313"/>
      <c r="CU142" s="313"/>
      <c r="CV142" s="313"/>
      <c r="CW142" s="313"/>
      <c r="CX142" s="313"/>
      <c r="CY142" s="313"/>
      <c r="CZ142" s="313"/>
      <c r="DA142" s="313"/>
      <c r="DB142" s="313"/>
      <c r="DC142" s="313"/>
    </row>
    <row r="143" spans="1:107" s="2" customFormat="1">
      <c r="A143" s="347"/>
      <c r="B143" s="347"/>
      <c r="C143" s="268"/>
      <c r="D143" s="346"/>
      <c r="E143" s="347"/>
      <c r="F143" s="349"/>
      <c r="G143" s="349"/>
      <c r="H143" s="348"/>
      <c r="I143" s="347"/>
      <c r="J143" s="348"/>
      <c r="K143" s="349"/>
      <c r="L143" s="348"/>
      <c r="M143" s="347"/>
      <c r="N143" s="347"/>
      <c r="O143" s="313"/>
      <c r="P143" s="313"/>
      <c r="Q143" s="313"/>
      <c r="R143" s="313"/>
      <c r="S143" s="313"/>
      <c r="T143" s="348"/>
      <c r="U143" s="349"/>
      <c r="V143" s="348"/>
      <c r="W143" s="349"/>
      <c r="X143" s="313"/>
      <c r="Y143" s="313"/>
      <c r="Z143" s="667"/>
      <c r="AA143" s="373"/>
      <c r="AB143" s="667"/>
      <c r="AC143" s="373"/>
      <c r="AD143" s="315"/>
      <c r="AE143" s="315"/>
      <c r="AF143" s="348"/>
      <c r="AG143" s="349"/>
      <c r="AH143" s="348"/>
      <c r="AI143" s="349"/>
      <c r="AJ143" s="313"/>
      <c r="AK143" s="313"/>
      <c r="AL143" s="667"/>
      <c r="AM143" s="373"/>
      <c r="AN143" s="667"/>
      <c r="AO143" s="373"/>
      <c r="AP143" s="315"/>
      <c r="AQ143" s="315"/>
      <c r="AR143" s="348"/>
      <c r="AS143" s="349"/>
      <c r="AT143" s="348"/>
      <c r="AU143" s="349"/>
      <c r="AV143" s="313"/>
      <c r="AW143" s="313"/>
      <c r="AX143" s="667"/>
      <c r="AY143" s="373"/>
      <c r="AZ143" s="667"/>
      <c r="BA143" s="373"/>
      <c r="BB143" s="315"/>
      <c r="BC143" s="315"/>
      <c r="BD143" s="313"/>
      <c r="BE143" s="349"/>
      <c r="BF143" s="348"/>
      <c r="BG143" s="349"/>
      <c r="BH143" s="313"/>
      <c r="BI143" s="313"/>
      <c r="BJ143" s="315"/>
      <c r="BK143" s="373"/>
      <c r="BL143" s="667"/>
      <c r="BM143" s="373"/>
      <c r="BN143" s="315"/>
      <c r="BO143" s="315"/>
      <c r="BP143" s="313"/>
      <c r="BQ143" s="349"/>
      <c r="BR143" s="313"/>
      <c r="BS143" s="349"/>
      <c r="BT143" s="313"/>
      <c r="BU143" s="313"/>
      <c r="BV143" s="315"/>
      <c r="BW143" s="373"/>
      <c r="BX143" s="315"/>
      <c r="BY143" s="373"/>
      <c r="BZ143" s="315"/>
      <c r="CA143" s="315"/>
      <c r="CB143" s="353"/>
      <c r="CC143" s="313"/>
      <c r="CD143" s="522"/>
      <c r="CE143" s="526"/>
      <c r="CF143" s="527"/>
      <c r="CG143" s="526"/>
      <c r="CH143" s="527"/>
      <c r="CI143" s="526"/>
      <c r="CJ143" s="527"/>
      <c r="CK143" s="526"/>
      <c r="CL143" s="527"/>
      <c r="CM143" s="526"/>
      <c r="CN143" s="527"/>
      <c r="CO143" s="526"/>
      <c r="CP143" s="527"/>
      <c r="CQ143" s="526"/>
      <c r="CR143" s="527"/>
      <c r="CS143" s="522"/>
      <c r="CT143" s="313"/>
      <c r="CU143" s="313"/>
      <c r="CV143" s="313"/>
      <c r="CW143" s="313"/>
      <c r="CX143" s="313"/>
      <c r="CY143" s="313"/>
      <c r="CZ143" s="313"/>
      <c r="DA143" s="313"/>
      <c r="DB143" s="313"/>
      <c r="DC143" s="313"/>
    </row>
    <row r="144" spans="1:107" s="2" customFormat="1">
      <c r="A144" s="347"/>
      <c r="B144" s="347"/>
      <c r="C144" s="268"/>
      <c r="D144" s="346"/>
      <c r="E144" s="347"/>
      <c r="F144" s="349"/>
      <c r="G144" s="349"/>
      <c r="H144" s="348"/>
      <c r="I144" s="347"/>
      <c r="J144" s="348"/>
      <c r="K144" s="349"/>
      <c r="L144" s="348"/>
      <c r="M144" s="347"/>
      <c r="N144" s="347"/>
      <c r="O144" s="313"/>
      <c r="P144" s="313"/>
      <c r="Q144" s="313"/>
      <c r="R144" s="313"/>
      <c r="S144" s="313"/>
      <c r="T144" s="348"/>
      <c r="U144" s="349"/>
      <c r="V144" s="348"/>
      <c r="W144" s="349"/>
      <c r="X144" s="313"/>
      <c r="Y144" s="313"/>
      <c r="Z144" s="667"/>
      <c r="AA144" s="373"/>
      <c r="AB144" s="667"/>
      <c r="AC144" s="373"/>
      <c r="AD144" s="315"/>
      <c r="AE144" s="315"/>
      <c r="AF144" s="348"/>
      <c r="AG144" s="349"/>
      <c r="AH144" s="348"/>
      <c r="AI144" s="349"/>
      <c r="AJ144" s="313"/>
      <c r="AK144" s="313"/>
      <c r="AL144" s="667"/>
      <c r="AM144" s="373"/>
      <c r="AN144" s="667"/>
      <c r="AO144" s="373"/>
      <c r="AP144" s="315"/>
      <c r="AQ144" s="315"/>
      <c r="AR144" s="348"/>
      <c r="AS144" s="349"/>
      <c r="AT144" s="348"/>
      <c r="AU144" s="349"/>
      <c r="AV144" s="313"/>
      <c r="AW144" s="313"/>
      <c r="AX144" s="667"/>
      <c r="AY144" s="373"/>
      <c r="AZ144" s="667"/>
      <c r="BA144" s="373"/>
      <c r="BB144" s="315"/>
      <c r="BC144" s="315"/>
      <c r="BD144" s="313"/>
      <c r="BE144" s="349"/>
      <c r="BF144" s="348"/>
      <c r="BG144" s="349"/>
      <c r="BH144" s="313"/>
      <c r="BI144" s="313"/>
      <c r="BJ144" s="315"/>
      <c r="BK144" s="373"/>
      <c r="BL144" s="667"/>
      <c r="BM144" s="373"/>
      <c r="BN144" s="315"/>
      <c r="BO144" s="315"/>
      <c r="BP144" s="313"/>
      <c r="BQ144" s="349"/>
      <c r="BR144" s="313"/>
      <c r="BS144" s="349"/>
      <c r="BT144" s="313"/>
      <c r="BU144" s="313"/>
      <c r="BV144" s="315"/>
      <c r="BW144" s="373"/>
      <c r="BX144" s="315"/>
      <c r="BY144" s="373"/>
      <c r="BZ144" s="315"/>
      <c r="CA144" s="315"/>
      <c r="CB144" s="353"/>
      <c r="CC144" s="313"/>
      <c r="CD144" s="522"/>
      <c r="CE144" s="526"/>
      <c r="CF144" s="527"/>
      <c r="CG144" s="526"/>
      <c r="CH144" s="527"/>
      <c r="CI144" s="526"/>
      <c r="CJ144" s="527"/>
      <c r="CK144" s="526"/>
      <c r="CL144" s="527"/>
      <c r="CM144" s="526"/>
      <c r="CN144" s="527"/>
      <c r="CO144" s="526"/>
      <c r="CP144" s="527"/>
      <c r="CQ144" s="526"/>
      <c r="CR144" s="527"/>
      <c r="CS144" s="522"/>
      <c r="CT144" s="313"/>
      <c r="CU144" s="313"/>
      <c r="CV144" s="313"/>
      <c r="CW144" s="313"/>
      <c r="CX144" s="313"/>
      <c r="CY144" s="313"/>
      <c r="CZ144" s="313"/>
      <c r="DA144" s="313"/>
      <c r="DB144" s="313"/>
      <c r="DC144" s="313"/>
    </row>
    <row r="145" spans="1:107" s="2" customFormat="1">
      <c r="A145" s="347"/>
      <c r="B145" s="347"/>
      <c r="C145" s="268"/>
      <c r="D145" s="346"/>
      <c r="E145" s="347"/>
      <c r="F145" s="349"/>
      <c r="G145" s="349"/>
      <c r="H145" s="348"/>
      <c r="I145" s="347"/>
      <c r="J145" s="348"/>
      <c r="K145" s="349"/>
      <c r="L145" s="348"/>
      <c r="M145" s="347"/>
      <c r="N145" s="347"/>
      <c r="O145" s="313"/>
      <c r="P145" s="313"/>
      <c r="Q145" s="313"/>
      <c r="R145" s="313"/>
      <c r="S145" s="313"/>
      <c r="T145" s="348"/>
      <c r="U145" s="349"/>
      <c r="V145" s="348"/>
      <c r="W145" s="349"/>
      <c r="X145" s="313"/>
      <c r="Y145" s="313"/>
      <c r="Z145" s="667"/>
      <c r="AA145" s="373"/>
      <c r="AB145" s="667"/>
      <c r="AC145" s="373"/>
      <c r="AD145" s="315"/>
      <c r="AE145" s="315"/>
      <c r="AF145" s="348"/>
      <c r="AG145" s="349"/>
      <c r="AH145" s="348"/>
      <c r="AI145" s="349"/>
      <c r="AJ145" s="313"/>
      <c r="AK145" s="313"/>
      <c r="AL145" s="667"/>
      <c r="AM145" s="373"/>
      <c r="AN145" s="667"/>
      <c r="AO145" s="373"/>
      <c r="AP145" s="315"/>
      <c r="AQ145" s="315"/>
      <c r="AR145" s="348"/>
      <c r="AS145" s="349"/>
      <c r="AT145" s="348"/>
      <c r="AU145" s="349"/>
      <c r="AV145" s="313"/>
      <c r="AW145" s="313"/>
      <c r="AX145" s="667"/>
      <c r="AY145" s="373"/>
      <c r="AZ145" s="667"/>
      <c r="BA145" s="373"/>
      <c r="BB145" s="315"/>
      <c r="BC145" s="315"/>
      <c r="BD145" s="313"/>
      <c r="BE145" s="349"/>
      <c r="BF145" s="348"/>
      <c r="BG145" s="349"/>
      <c r="BH145" s="313"/>
      <c r="BI145" s="313"/>
      <c r="BJ145" s="315"/>
      <c r="BK145" s="373"/>
      <c r="BL145" s="667"/>
      <c r="BM145" s="373"/>
      <c r="BN145" s="315"/>
      <c r="BO145" s="315"/>
      <c r="BP145" s="313"/>
      <c r="BQ145" s="349"/>
      <c r="BR145" s="313"/>
      <c r="BS145" s="349"/>
      <c r="BT145" s="313"/>
      <c r="BU145" s="313"/>
      <c r="BV145" s="315"/>
      <c r="BW145" s="373"/>
      <c r="BX145" s="315"/>
      <c r="BY145" s="373"/>
      <c r="BZ145" s="315"/>
      <c r="CA145" s="315"/>
      <c r="CB145" s="353"/>
      <c r="CC145" s="313"/>
      <c r="CD145" s="522"/>
      <c r="CE145" s="526"/>
      <c r="CF145" s="527"/>
      <c r="CG145" s="526"/>
      <c r="CH145" s="527"/>
      <c r="CI145" s="526"/>
      <c r="CJ145" s="527"/>
      <c r="CK145" s="526"/>
      <c r="CL145" s="527"/>
      <c r="CM145" s="526"/>
      <c r="CN145" s="527"/>
      <c r="CO145" s="526"/>
      <c r="CP145" s="527"/>
      <c r="CQ145" s="526"/>
      <c r="CR145" s="527"/>
      <c r="CS145" s="522"/>
      <c r="CT145" s="313"/>
      <c r="CU145" s="313"/>
      <c r="CV145" s="313"/>
      <c r="CW145" s="313"/>
      <c r="CX145" s="313"/>
      <c r="CY145" s="313"/>
      <c r="CZ145" s="313"/>
      <c r="DA145" s="313"/>
      <c r="DB145" s="313"/>
      <c r="DC145" s="313"/>
    </row>
    <row r="146" spans="1:107" s="2" customFormat="1">
      <c r="A146" s="347"/>
      <c r="B146" s="347"/>
      <c r="C146" s="268"/>
      <c r="D146" s="346"/>
      <c r="E146" s="347"/>
      <c r="F146" s="349"/>
      <c r="G146" s="349"/>
      <c r="H146" s="348"/>
      <c r="I146" s="347"/>
      <c r="J146" s="348"/>
      <c r="K146" s="349"/>
      <c r="L146" s="348"/>
      <c r="M146" s="347"/>
      <c r="N146" s="347"/>
      <c r="O146" s="313"/>
      <c r="P146" s="313"/>
      <c r="Q146" s="313"/>
      <c r="R146" s="313"/>
      <c r="S146" s="313"/>
      <c r="T146" s="348"/>
      <c r="U146" s="349"/>
      <c r="V146" s="348"/>
      <c r="W146" s="349"/>
      <c r="X146" s="313"/>
      <c r="Y146" s="313"/>
      <c r="Z146" s="667"/>
      <c r="AA146" s="373"/>
      <c r="AB146" s="667"/>
      <c r="AC146" s="373"/>
      <c r="AD146" s="315"/>
      <c r="AE146" s="315"/>
      <c r="AF146" s="348"/>
      <c r="AG146" s="349"/>
      <c r="AH146" s="348"/>
      <c r="AI146" s="349"/>
      <c r="AJ146" s="313"/>
      <c r="AK146" s="313"/>
      <c r="AL146" s="667"/>
      <c r="AM146" s="373"/>
      <c r="AN146" s="667"/>
      <c r="AO146" s="373"/>
      <c r="AP146" s="315"/>
      <c r="AQ146" s="315"/>
      <c r="AR146" s="348"/>
      <c r="AS146" s="349"/>
      <c r="AT146" s="348"/>
      <c r="AU146" s="349"/>
      <c r="AV146" s="313"/>
      <c r="AW146" s="313"/>
      <c r="AX146" s="667"/>
      <c r="AY146" s="373"/>
      <c r="AZ146" s="667"/>
      <c r="BA146" s="373"/>
      <c r="BB146" s="315"/>
      <c r="BC146" s="315"/>
      <c r="BD146" s="313"/>
      <c r="BE146" s="349"/>
      <c r="BF146" s="348"/>
      <c r="BG146" s="349"/>
      <c r="BH146" s="313"/>
      <c r="BI146" s="313"/>
      <c r="BJ146" s="315"/>
      <c r="BK146" s="373"/>
      <c r="BL146" s="667"/>
      <c r="BM146" s="373"/>
      <c r="BN146" s="315"/>
      <c r="BO146" s="315"/>
      <c r="BP146" s="313"/>
      <c r="BQ146" s="349"/>
      <c r="BR146" s="313"/>
      <c r="BS146" s="349"/>
      <c r="BT146" s="313"/>
      <c r="BU146" s="313"/>
      <c r="BV146" s="315"/>
      <c r="BW146" s="373"/>
      <c r="BX146" s="315"/>
      <c r="BY146" s="373"/>
      <c r="BZ146" s="315"/>
      <c r="CA146" s="315"/>
      <c r="CB146" s="353"/>
      <c r="CC146" s="313"/>
      <c r="CD146" s="522"/>
      <c r="CE146" s="526"/>
      <c r="CF146" s="527"/>
      <c r="CG146" s="526"/>
      <c r="CH146" s="527"/>
      <c r="CI146" s="526"/>
      <c r="CJ146" s="527"/>
      <c r="CK146" s="526"/>
      <c r="CL146" s="527"/>
      <c r="CM146" s="526"/>
      <c r="CN146" s="527"/>
      <c r="CO146" s="526"/>
      <c r="CP146" s="527"/>
      <c r="CQ146" s="526"/>
      <c r="CR146" s="527"/>
      <c r="CS146" s="522"/>
      <c r="CT146" s="313"/>
      <c r="CU146" s="313"/>
      <c r="CV146" s="313"/>
      <c r="CW146" s="313"/>
      <c r="CX146" s="313"/>
      <c r="CY146" s="313"/>
      <c r="CZ146" s="313"/>
      <c r="DA146" s="313"/>
      <c r="DB146" s="313"/>
      <c r="DC146" s="313"/>
    </row>
    <row r="147" spans="1:107" s="2" customFormat="1">
      <c r="A147" s="347"/>
      <c r="B147" s="347"/>
      <c r="C147" s="268"/>
      <c r="D147" s="346"/>
      <c r="E147" s="347"/>
      <c r="F147" s="349"/>
      <c r="G147" s="349"/>
      <c r="H147" s="348"/>
      <c r="I147" s="347"/>
      <c r="J147" s="348"/>
      <c r="K147" s="349"/>
      <c r="L147" s="348"/>
      <c r="M147" s="347"/>
      <c r="N147" s="347"/>
      <c r="O147" s="313"/>
      <c r="P147" s="313"/>
      <c r="Q147" s="313"/>
      <c r="R147" s="313"/>
      <c r="S147" s="313"/>
      <c r="T147" s="348"/>
      <c r="U147" s="349"/>
      <c r="V147" s="348"/>
      <c r="W147" s="349"/>
      <c r="X147" s="313"/>
      <c r="Y147" s="313"/>
      <c r="Z147" s="667"/>
      <c r="AA147" s="373"/>
      <c r="AB147" s="667"/>
      <c r="AC147" s="373"/>
      <c r="AD147" s="315"/>
      <c r="AE147" s="315"/>
      <c r="AF147" s="348"/>
      <c r="AG147" s="349"/>
      <c r="AH147" s="348"/>
      <c r="AI147" s="349"/>
      <c r="AJ147" s="313"/>
      <c r="AK147" s="313"/>
      <c r="AL147" s="667"/>
      <c r="AM147" s="373"/>
      <c r="AN147" s="667"/>
      <c r="AO147" s="373"/>
      <c r="AP147" s="315"/>
      <c r="AQ147" s="315"/>
      <c r="AR147" s="348"/>
      <c r="AS147" s="349"/>
      <c r="AT147" s="348"/>
      <c r="AU147" s="349"/>
      <c r="AV147" s="313"/>
      <c r="AW147" s="313"/>
      <c r="AX147" s="667"/>
      <c r="AY147" s="373"/>
      <c r="AZ147" s="667"/>
      <c r="BA147" s="373"/>
      <c r="BB147" s="315"/>
      <c r="BC147" s="315"/>
      <c r="BD147" s="313"/>
      <c r="BE147" s="349"/>
      <c r="BF147" s="348"/>
      <c r="BG147" s="349"/>
      <c r="BH147" s="313"/>
      <c r="BI147" s="313"/>
      <c r="BJ147" s="315"/>
      <c r="BK147" s="373"/>
      <c r="BL147" s="667"/>
      <c r="BM147" s="373"/>
      <c r="BN147" s="315"/>
      <c r="BO147" s="315"/>
      <c r="BP147" s="313"/>
      <c r="BQ147" s="349"/>
      <c r="BR147" s="313"/>
      <c r="BS147" s="349"/>
      <c r="BT147" s="313"/>
      <c r="BU147" s="313"/>
      <c r="BV147" s="315"/>
      <c r="BW147" s="373"/>
      <c r="BX147" s="315"/>
      <c r="BY147" s="373"/>
      <c r="BZ147" s="315"/>
      <c r="CA147" s="315"/>
      <c r="CB147" s="353"/>
      <c r="CC147" s="313"/>
      <c r="CD147" s="522"/>
      <c r="CE147" s="526"/>
      <c r="CF147" s="527"/>
      <c r="CG147" s="526"/>
      <c r="CH147" s="527"/>
      <c r="CI147" s="526"/>
      <c r="CJ147" s="527"/>
      <c r="CK147" s="526"/>
      <c r="CL147" s="527"/>
      <c r="CM147" s="526"/>
      <c r="CN147" s="527"/>
      <c r="CO147" s="526"/>
      <c r="CP147" s="527"/>
      <c r="CQ147" s="526"/>
      <c r="CR147" s="527"/>
      <c r="CS147" s="522"/>
      <c r="CT147" s="313"/>
      <c r="CU147" s="313"/>
      <c r="CV147" s="313"/>
      <c r="CW147" s="313"/>
      <c r="CX147" s="313"/>
      <c r="CY147" s="313"/>
      <c r="CZ147" s="313"/>
      <c r="DA147" s="313"/>
      <c r="DB147" s="313"/>
      <c r="DC147" s="313"/>
    </row>
    <row r="148" spans="1:107" s="2" customFormat="1">
      <c r="A148" s="347"/>
      <c r="B148" s="347"/>
      <c r="C148" s="268"/>
      <c r="D148" s="346"/>
      <c r="E148" s="347"/>
      <c r="F148" s="349"/>
      <c r="G148" s="349"/>
      <c r="H148" s="348"/>
      <c r="I148" s="347"/>
      <c r="J148" s="348"/>
      <c r="K148" s="349"/>
      <c r="L148" s="348"/>
      <c r="M148" s="347"/>
      <c r="N148" s="347"/>
      <c r="O148" s="313"/>
      <c r="P148" s="313"/>
      <c r="Q148" s="313"/>
      <c r="R148" s="313"/>
      <c r="S148" s="313"/>
      <c r="T148" s="348"/>
      <c r="U148" s="349"/>
      <c r="V148" s="348"/>
      <c r="W148" s="349"/>
      <c r="X148" s="313"/>
      <c r="Y148" s="313"/>
      <c r="Z148" s="667"/>
      <c r="AA148" s="373"/>
      <c r="AB148" s="667"/>
      <c r="AC148" s="373"/>
      <c r="AD148" s="315"/>
      <c r="AE148" s="315"/>
      <c r="AF148" s="348"/>
      <c r="AG148" s="349"/>
      <c r="AH148" s="348"/>
      <c r="AI148" s="349"/>
      <c r="AJ148" s="313"/>
      <c r="AK148" s="313"/>
      <c r="AL148" s="667"/>
      <c r="AM148" s="373"/>
      <c r="AN148" s="667"/>
      <c r="AO148" s="373"/>
      <c r="AP148" s="315"/>
      <c r="AQ148" s="315"/>
      <c r="AR148" s="348"/>
      <c r="AS148" s="349"/>
      <c r="AT148" s="348"/>
      <c r="AU148" s="349"/>
      <c r="AV148" s="313"/>
      <c r="AW148" s="313"/>
      <c r="AX148" s="667"/>
      <c r="AY148" s="373"/>
      <c r="AZ148" s="667"/>
      <c r="BA148" s="373"/>
      <c r="BB148" s="315"/>
      <c r="BC148" s="315"/>
      <c r="BD148" s="313"/>
      <c r="BE148" s="349"/>
      <c r="BF148" s="348"/>
      <c r="BG148" s="349"/>
      <c r="BH148" s="313"/>
      <c r="BI148" s="313"/>
      <c r="BJ148" s="315"/>
      <c r="BK148" s="373"/>
      <c r="BL148" s="667"/>
      <c r="BM148" s="373"/>
      <c r="BN148" s="315"/>
      <c r="BO148" s="315"/>
      <c r="BP148" s="313"/>
      <c r="BQ148" s="349"/>
      <c r="BR148" s="313"/>
      <c r="BS148" s="349"/>
      <c r="BT148" s="313"/>
      <c r="BU148" s="313"/>
      <c r="BV148" s="315"/>
      <c r="BW148" s="373"/>
      <c r="BX148" s="315"/>
      <c r="BY148" s="373"/>
      <c r="BZ148" s="315"/>
      <c r="CA148" s="315"/>
      <c r="CB148" s="353"/>
      <c r="CC148" s="313"/>
      <c r="CD148" s="522"/>
      <c r="CE148" s="526"/>
      <c r="CF148" s="527"/>
      <c r="CG148" s="526"/>
      <c r="CH148" s="527"/>
      <c r="CI148" s="526"/>
      <c r="CJ148" s="527"/>
      <c r="CK148" s="526"/>
      <c r="CL148" s="527"/>
      <c r="CM148" s="526"/>
      <c r="CN148" s="527"/>
      <c r="CO148" s="526"/>
      <c r="CP148" s="527"/>
      <c r="CQ148" s="526"/>
      <c r="CR148" s="527"/>
      <c r="CS148" s="522"/>
      <c r="CT148" s="313"/>
      <c r="CU148" s="313"/>
      <c r="CV148" s="313"/>
      <c r="CW148" s="313"/>
      <c r="CX148" s="313"/>
      <c r="CY148" s="313"/>
      <c r="CZ148" s="313"/>
      <c r="DA148" s="313"/>
      <c r="DB148" s="313"/>
      <c r="DC148" s="313"/>
    </row>
    <row r="149" spans="1:107" s="2" customFormat="1">
      <c r="A149" s="347"/>
      <c r="B149" s="347"/>
      <c r="C149" s="268"/>
      <c r="D149" s="346"/>
      <c r="E149" s="347"/>
      <c r="F149" s="349"/>
      <c r="G149" s="349"/>
      <c r="H149" s="348"/>
      <c r="I149" s="347"/>
      <c r="J149" s="348"/>
      <c r="K149" s="349"/>
      <c r="L149" s="348"/>
      <c r="M149" s="347"/>
      <c r="N149" s="347"/>
      <c r="O149" s="313"/>
      <c r="P149" s="313"/>
      <c r="Q149" s="313"/>
      <c r="R149" s="313"/>
      <c r="S149" s="313"/>
      <c r="T149" s="348"/>
      <c r="U149" s="349"/>
      <c r="V149" s="348"/>
      <c r="W149" s="349"/>
      <c r="X149" s="313"/>
      <c r="Y149" s="313"/>
      <c r="Z149" s="667"/>
      <c r="AA149" s="373"/>
      <c r="AB149" s="667"/>
      <c r="AC149" s="373"/>
      <c r="AD149" s="315"/>
      <c r="AE149" s="315"/>
      <c r="AF149" s="348"/>
      <c r="AG149" s="349"/>
      <c r="AH149" s="348"/>
      <c r="AI149" s="349"/>
      <c r="AJ149" s="313"/>
      <c r="AK149" s="313"/>
      <c r="AL149" s="667"/>
      <c r="AM149" s="373"/>
      <c r="AN149" s="667"/>
      <c r="AO149" s="373"/>
      <c r="AP149" s="315"/>
      <c r="AQ149" s="315"/>
      <c r="AR149" s="348"/>
      <c r="AS149" s="349"/>
      <c r="AT149" s="348"/>
      <c r="AU149" s="349"/>
      <c r="AV149" s="313"/>
      <c r="AW149" s="313"/>
      <c r="AX149" s="667"/>
      <c r="AY149" s="373"/>
      <c r="AZ149" s="667"/>
      <c r="BA149" s="373"/>
      <c r="BB149" s="315"/>
      <c r="BC149" s="315"/>
      <c r="BD149" s="313"/>
      <c r="BE149" s="349"/>
      <c r="BF149" s="348"/>
      <c r="BG149" s="349"/>
      <c r="BH149" s="313"/>
      <c r="BI149" s="313"/>
      <c r="BJ149" s="315"/>
      <c r="BK149" s="373"/>
      <c r="BL149" s="667"/>
      <c r="BM149" s="373"/>
      <c r="BN149" s="315"/>
      <c r="BO149" s="315"/>
      <c r="BP149" s="313"/>
      <c r="BQ149" s="349"/>
      <c r="BR149" s="313"/>
      <c r="BS149" s="349"/>
      <c r="BT149" s="313"/>
      <c r="BU149" s="313"/>
      <c r="BV149" s="315"/>
      <c r="BW149" s="373"/>
      <c r="BX149" s="315"/>
      <c r="BY149" s="373"/>
      <c r="BZ149" s="315"/>
      <c r="CA149" s="315"/>
      <c r="CB149" s="353"/>
      <c r="CC149" s="313"/>
      <c r="CD149" s="522"/>
      <c r="CE149" s="526"/>
      <c r="CF149" s="527"/>
      <c r="CG149" s="526"/>
      <c r="CH149" s="527"/>
      <c r="CI149" s="526"/>
      <c r="CJ149" s="527"/>
      <c r="CK149" s="526"/>
      <c r="CL149" s="527"/>
      <c r="CM149" s="526"/>
      <c r="CN149" s="527"/>
      <c r="CO149" s="526"/>
      <c r="CP149" s="527"/>
      <c r="CQ149" s="526"/>
      <c r="CR149" s="527"/>
      <c r="CS149" s="522"/>
      <c r="CT149" s="313"/>
      <c r="CU149" s="313"/>
      <c r="CV149" s="313"/>
      <c r="CW149" s="313"/>
      <c r="CX149" s="313"/>
      <c r="CY149" s="313"/>
      <c r="CZ149" s="313"/>
      <c r="DA149" s="313"/>
      <c r="DB149" s="313"/>
      <c r="DC149" s="313"/>
    </row>
    <row r="150" spans="1:107" s="2" customFormat="1">
      <c r="A150" s="347"/>
      <c r="B150" s="347"/>
      <c r="C150" s="268"/>
      <c r="D150" s="346"/>
      <c r="E150" s="347"/>
      <c r="F150" s="349"/>
      <c r="G150" s="349"/>
      <c r="H150" s="348"/>
      <c r="I150" s="347"/>
      <c r="J150" s="348"/>
      <c r="K150" s="349"/>
      <c r="L150" s="348"/>
      <c r="M150" s="347"/>
      <c r="N150" s="347"/>
      <c r="O150" s="313"/>
      <c r="P150" s="313"/>
      <c r="Q150" s="313"/>
      <c r="R150" s="313"/>
      <c r="S150" s="313"/>
      <c r="T150" s="348"/>
      <c r="U150" s="349"/>
      <c r="V150" s="348"/>
      <c r="W150" s="349"/>
      <c r="X150" s="313"/>
      <c r="Y150" s="313"/>
      <c r="Z150" s="667"/>
      <c r="AA150" s="373"/>
      <c r="AB150" s="667"/>
      <c r="AC150" s="373"/>
      <c r="AD150" s="315"/>
      <c r="AE150" s="315"/>
      <c r="AF150" s="348"/>
      <c r="AG150" s="349"/>
      <c r="AH150" s="348"/>
      <c r="AI150" s="349"/>
      <c r="AJ150" s="313"/>
      <c r="AK150" s="313"/>
      <c r="AL150" s="667"/>
      <c r="AM150" s="373"/>
      <c r="AN150" s="667"/>
      <c r="AO150" s="373"/>
      <c r="AP150" s="315"/>
      <c r="AQ150" s="315"/>
      <c r="AR150" s="348"/>
      <c r="AS150" s="349"/>
      <c r="AT150" s="348"/>
      <c r="AU150" s="349"/>
      <c r="AV150" s="313"/>
      <c r="AW150" s="313"/>
      <c r="AX150" s="667"/>
      <c r="AY150" s="373"/>
      <c r="AZ150" s="667"/>
      <c r="BA150" s="373"/>
      <c r="BB150" s="315"/>
      <c r="BC150" s="315"/>
      <c r="BD150" s="313"/>
      <c r="BE150" s="349"/>
      <c r="BF150" s="348"/>
      <c r="BG150" s="349"/>
      <c r="BH150" s="313"/>
      <c r="BI150" s="313"/>
      <c r="BJ150" s="315"/>
      <c r="BK150" s="373"/>
      <c r="BL150" s="667"/>
      <c r="BM150" s="373"/>
      <c r="BN150" s="315"/>
      <c r="BO150" s="315"/>
      <c r="BP150" s="313"/>
      <c r="BQ150" s="349"/>
      <c r="BR150" s="313"/>
      <c r="BS150" s="349"/>
      <c r="BT150" s="313"/>
      <c r="BU150" s="313"/>
      <c r="BV150" s="315"/>
      <c r="BW150" s="373"/>
      <c r="BX150" s="315"/>
      <c r="BY150" s="373"/>
      <c r="BZ150" s="315"/>
      <c r="CA150" s="315"/>
      <c r="CB150" s="353"/>
      <c r="CC150" s="313"/>
      <c r="CD150" s="522"/>
      <c r="CE150" s="526"/>
      <c r="CF150" s="527"/>
      <c r="CG150" s="526"/>
      <c r="CH150" s="527"/>
      <c r="CI150" s="526"/>
      <c r="CJ150" s="527"/>
      <c r="CK150" s="526"/>
      <c r="CL150" s="527"/>
      <c r="CM150" s="526"/>
      <c r="CN150" s="527"/>
      <c r="CO150" s="526"/>
      <c r="CP150" s="527"/>
      <c r="CQ150" s="526"/>
      <c r="CR150" s="527"/>
      <c r="CS150" s="522"/>
      <c r="CT150" s="313"/>
      <c r="CU150" s="313"/>
      <c r="CV150" s="313"/>
      <c r="CW150" s="313"/>
      <c r="CX150" s="313"/>
      <c r="CY150" s="313"/>
      <c r="CZ150" s="313"/>
      <c r="DA150" s="313"/>
      <c r="DB150" s="313"/>
      <c r="DC150" s="313"/>
    </row>
    <row r="151" spans="1:107" s="2" customFormat="1">
      <c r="A151" s="347"/>
      <c r="B151" s="347"/>
      <c r="C151" s="268"/>
      <c r="D151" s="346"/>
      <c r="E151" s="347"/>
      <c r="F151" s="349"/>
      <c r="G151" s="349"/>
      <c r="H151" s="348"/>
      <c r="I151" s="347"/>
      <c r="J151" s="348"/>
      <c r="K151" s="349"/>
      <c r="L151" s="348"/>
      <c r="M151" s="347"/>
      <c r="N151" s="347"/>
      <c r="O151" s="313"/>
      <c r="P151" s="313"/>
      <c r="Q151" s="313"/>
      <c r="R151" s="313"/>
      <c r="S151" s="313"/>
      <c r="T151" s="348"/>
      <c r="U151" s="349"/>
      <c r="V151" s="348"/>
      <c r="W151" s="349"/>
      <c r="X151" s="313"/>
      <c r="Y151" s="313"/>
      <c r="Z151" s="667"/>
      <c r="AA151" s="373"/>
      <c r="AB151" s="667"/>
      <c r="AC151" s="373"/>
      <c r="AD151" s="315"/>
      <c r="AE151" s="315"/>
      <c r="AF151" s="348"/>
      <c r="AG151" s="349"/>
      <c r="AH151" s="348"/>
      <c r="AI151" s="349"/>
      <c r="AJ151" s="313"/>
      <c r="AK151" s="313"/>
      <c r="AL151" s="667"/>
      <c r="AM151" s="373"/>
      <c r="AN151" s="667"/>
      <c r="AO151" s="373"/>
      <c r="AP151" s="315"/>
      <c r="AQ151" s="315"/>
      <c r="AR151" s="348"/>
      <c r="AS151" s="349"/>
      <c r="AT151" s="348"/>
      <c r="AU151" s="349"/>
      <c r="AV151" s="313"/>
      <c r="AW151" s="313"/>
      <c r="AX151" s="667"/>
      <c r="AY151" s="373"/>
      <c r="AZ151" s="667"/>
      <c r="BA151" s="373"/>
      <c r="BB151" s="315"/>
      <c r="BC151" s="315"/>
      <c r="BD151" s="313"/>
      <c r="BE151" s="349"/>
      <c r="BF151" s="348"/>
      <c r="BG151" s="349"/>
      <c r="BH151" s="313"/>
      <c r="BI151" s="313"/>
      <c r="BJ151" s="315"/>
      <c r="BK151" s="373"/>
      <c r="BL151" s="667"/>
      <c r="BM151" s="373"/>
      <c r="BN151" s="315"/>
      <c r="BO151" s="315"/>
      <c r="BP151" s="313"/>
      <c r="BQ151" s="349"/>
      <c r="BR151" s="313"/>
      <c r="BS151" s="349"/>
      <c r="BT151" s="313"/>
      <c r="BU151" s="313"/>
      <c r="BV151" s="315"/>
      <c r="BW151" s="373"/>
      <c r="BX151" s="315"/>
      <c r="BY151" s="373"/>
      <c r="BZ151" s="315"/>
      <c r="CA151" s="315"/>
      <c r="CB151" s="353"/>
      <c r="CC151" s="313"/>
      <c r="CD151" s="522"/>
      <c r="CE151" s="526"/>
      <c r="CF151" s="527"/>
      <c r="CG151" s="526"/>
      <c r="CH151" s="527"/>
      <c r="CI151" s="526"/>
      <c r="CJ151" s="527"/>
      <c r="CK151" s="526"/>
      <c r="CL151" s="527"/>
      <c r="CM151" s="526"/>
      <c r="CN151" s="527"/>
      <c r="CO151" s="526"/>
      <c r="CP151" s="527"/>
      <c r="CQ151" s="526"/>
      <c r="CR151" s="527"/>
      <c r="CS151" s="522"/>
      <c r="CT151" s="313"/>
      <c r="CU151" s="313"/>
      <c r="CV151" s="313"/>
      <c r="CW151" s="313"/>
      <c r="CX151" s="313"/>
      <c r="CY151" s="313"/>
      <c r="CZ151" s="313"/>
      <c r="DA151" s="313"/>
      <c r="DB151" s="313"/>
      <c r="DC151" s="313"/>
    </row>
    <row r="152" spans="1:107" s="2" customFormat="1">
      <c r="A152" s="347"/>
      <c r="B152" s="347"/>
      <c r="C152" s="268"/>
      <c r="D152" s="346"/>
      <c r="E152" s="347"/>
      <c r="F152" s="349"/>
      <c r="G152" s="349"/>
      <c r="H152" s="348"/>
      <c r="I152" s="347"/>
      <c r="J152" s="348"/>
      <c r="K152" s="349"/>
      <c r="L152" s="348"/>
      <c r="M152" s="347"/>
      <c r="N152" s="347"/>
      <c r="O152" s="313"/>
      <c r="P152" s="313"/>
      <c r="Q152" s="313"/>
      <c r="R152" s="313"/>
      <c r="S152" s="313"/>
      <c r="T152" s="348"/>
      <c r="U152" s="349"/>
      <c r="V152" s="348"/>
      <c r="W152" s="349"/>
      <c r="X152" s="313"/>
      <c r="Y152" s="313"/>
      <c r="Z152" s="667"/>
      <c r="AA152" s="373"/>
      <c r="AB152" s="667"/>
      <c r="AC152" s="373"/>
      <c r="AD152" s="315"/>
      <c r="AE152" s="315"/>
      <c r="AF152" s="348"/>
      <c r="AG152" s="349"/>
      <c r="AH152" s="348"/>
      <c r="AI152" s="349"/>
      <c r="AJ152" s="313"/>
      <c r="AK152" s="313"/>
      <c r="AL152" s="667"/>
      <c r="AM152" s="373"/>
      <c r="AN152" s="667"/>
      <c r="AO152" s="373"/>
      <c r="AP152" s="315"/>
      <c r="AQ152" s="315"/>
      <c r="AR152" s="348"/>
      <c r="AS152" s="349"/>
      <c r="AT152" s="348"/>
      <c r="AU152" s="349"/>
      <c r="AV152" s="313"/>
      <c r="AW152" s="313"/>
      <c r="AX152" s="667"/>
      <c r="AY152" s="373"/>
      <c r="AZ152" s="667"/>
      <c r="BA152" s="373"/>
      <c r="BB152" s="315"/>
      <c r="BC152" s="315"/>
      <c r="BD152" s="313"/>
      <c r="BE152" s="349"/>
      <c r="BF152" s="348"/>
      <c r="BG152" s="349"/>
      <c r="BH152" s="313"/>
      <c r="BI152" s="313"/>
      <c r="BJ152" s="315"/>
      <c r="BK152" s="373"/>
      <c r="BL152" s="667"/>
      <c r="BM152" s="373"/>
      <c r="BN152" s="315"/>
      <c r="BO152" s="315"/>
      <c r="BP152" s="313"/>
      <c r="BQ152" s="349"/>
      <c r="BR152" s="313"/>
      <c r="BS152" s="349"/>
      <c r="BT152" s="313"/>
      <c r="BU152" s="313"/>
      <c r="BV152" s="315"/>
      <c r="BW152" s="373"/>
      <c r="BX152" s="315"/>
      <c r="BY152" s="373"/>
      <c r="BZ152" s="315"/>
      <c r="CA152" s="315"/>
      <c r="CB152" s="353"/>
      <c r="CC152" s="313"/>
      <c r="CD152" s="522"/>
      <c r="CE152" s="526"/>
      <c r="CF152" s="527"/>
      <c r="CG152" s="526"/>
      <c r="CH152" s="527"/>
      <c r="CI152" s="526"/>
      <c r="CJ152" s="527"/>
      <c r="CK152" s="526"/>
      <c r="CL152" s="527"/>
      <c r="CM152" s="526"/>
      <c r="CN152" s="527"/>
      <c r="CO152" s="526"/>
      <c r="CP152" s="527"/>
      <c r="CQ152" s="526"/>
      <c r="CR152" s="527"/>
      <c r="CS152" s="522"/>
      <c r="CT152" s="313"/>
      <c r="CU152" s="313"/>
      <c r="CV152" s="313"/>
      <c r="CW152" s="313"/>
      <c r="CX152" s="313"/>
      <c r="CY152" s="313"/>
      <c r="CZ152" s="313"/>
      <c r="DA152" s="313"/>
      <c r="DB152" s="313"/>
      <c r="DC152" s="313"/>
    </row>
    <row r="153" spans="1:107" s="2" customFormat="1">
      <c r="A153" s="347"/>
      <c r="B153" s="347"/>
      <c r="C153" s="268"/>
      <c r="D153" s="346"/>
      <c r="E153" s="347"/>
      <c r="F153" s="349"/>
      <c r="G153" s="349"/>
      <c r="H153" s="348"/>
      <c r="I153" s="347"/>
      <c r="J153" s="348"/>
      <c r="K153" s="349"/>
      <c r="L153" s="348"/>
      <c r="M153" s="347"/>
      <c r="N153" s="347"/>
      <c r="O153" s="313"/>
      <c r="P153" s="313"/>
      <c r="Q153" s="313"/>
      <c r="R153" s="313"/>
      <c r="S153" s="313"/>
      <c r="T153" s="348"/>
      <c r="U153" s="349"/>
      <c r="V153" s="348"/>
      <c r="W153" s="349"/>
      <c r="X153" s="313"/>
      <c r="Y153" s="313"/>
      <c r="Z153" s="667"/>
      <c r="AA153" s="373"/>
      <c r="AB153" s="667"/>
      <c r="AC153" s="373"/>
      <c r="AD153" s="315"/>
      <c r="AE153" s="315"/>
      <c r="AF153" s="348"/>
      <c r="AG153" s="349"/>
      <c r="AH153" s="348"/>
      <c r="AI153" s="349"/>
      <c r="AJ153" s="313"/>
      <c r="AK153" s="313"/>
      <c r="AL153" s="667"/>
      <c r="AM153" s="373"/>
      <c r="AN153" s="667"/>
      <c r="AO153" s="373"/>
      <c r="AP153" s="315"/>
      <c r="AQ153" s="315"/>
      <c r="AR153" s="348"/>
      <c r="AS153" s="349"/>
      <c r="AT153" s="348"/>
      <c r="AU153" s="349"/>
      <c r="AV153" s="313"/>
      <c r="AW153" s="313"/>
      <c r="AX153" s="667"/>
      <c r="AY153" s="373"/>
      <c r="AZ153" s="667"/>
      <c r="BA153" s="373"/>
      <c r="BB153" s="315"/>
      <c r="BC153" s="315"/>
      <c r="BD153" s="313"/>
      <c r="BE153" s="349"/>
      <c r="BF153" s="348"/>
      <c r="BG153" s="349"/>
      <c r="BH153" s="313"/>
      <c r="BI153" s="313"/>
      <c r="BJ153" s="315"/>
      <c r="BK153" s="373"/>
      <c r="BL153" s="667"/>
      <c r="BM153" s="373"/>
      <c r="BN153" s="315"/>
      <c r="BO153" s="315"/>
      <c r="BP153" s="313"/>
      <c r="BQ153" s="349"/>
      <c r="BR153" s="313"/>
      <c r="BS153" s="349"/>
      <c r="BT153" s="313"/>
      <c r="BU153" s="313"/>
      <c r="BV153" s="315"/>
      <c r="BW153" s="373"/>
      <c r="BX153" s="315"/>
      <c r="BY153" s="373"/>
      <c r="BZ153" s="315"/>
      <c r="CA153" s="315"/>
      <c r="CB153" s="353"/>
      <c r="CC153" s="313"/>
      <c r="CD153" s="522"/>
      <c r="CE153" s="526"/>
      <c r="CF153" s="527"/>
      <c r="CG153" s="526"/>
      <c r="CH153" s="527"/>
      <c r="CI153" s="526"/>
      <c r="CJ153" s="527"/>
      <c r="CK153" s="526"/>
      <c r="CL153" s="527"/>
      <c r="CM153" s="526"/>
      <c r="CN153" s="527"/>
      <c r="CO153" s="526"/>
      <c r="CP153" s="527"/>
      <c r="CQ153" s="526"/>
      <c r="CR153" s="527"/>
      <c r="CS153" s="522"/>
      <c r="CT153" s="313"/>
      <c r="CU153" s="313"/>
      <c r="CV153" s="313"/>
      <c r="CW153" s="313"/>
      <c r="CX153" s="313"/>
      <c r="CY153" s="313"/>
      <c r="CZ153" s="313"/>
      <c r="DA153" s="313"/>
      <c r="DB153" s="313"/>
      <c r="DC153" s="313"/>
    </row>
    <row r="154" spans="1:107" s="2" customFormat="1">
      <c r="A154" s="347"/>
      <c r="B154" s="347"/>
      <c r="C154" s="268"/>
      <c r="D154" s="346"/>
      <c r="E154" s="347"/>
      <c r="F154" s="349"/>
      <c r="G154" s="349"/>
      <c r="H154" s="348"/>
      <c r="I154" s="347"/>
      <c r="J154" s="348"/>
      <c r="K154" s="349"/>
      <c r="L154" s="348"/>
      <c r="M154" s="347"/>
      <c r="N154" s="347"/>
      <c r="O154" s="313"/>
      <c r="P154" s="313"/>
      <c r="Q154" s="313"/>
      <c r="R154" s="313"/>
      <c r="S154" s="313"/>
      <c r="T154" s="348"/>
      <c r="U154" s="349"/>
      <c r="V154" s="348"/>
      <c r="W154" s="349"/>
      <c r="X154" s="313"/>
      <c r="Y154" s="313"/>
      <c r="Z154" s="667"/>
      <c r="AA154" s="373"/>
      <c r="AB154" s="667"/>
      <c r="AC154" s="373"/>
      <c r="AD154" s="315"/>
      <c r="AE154" s="315"/>
      <c r="AF154" s="348"/>
      <c r="AG154" s="349"/>
      <c r="AH154" s="348"/>
      <c r="AI154" s="349"/>
      <c r="AJ154" s="313"/>
      <c r="AK154" s="313"/>
      <c r="AL154" s="667"/>
      <c r="AM154" s="373"/>
      <c r="AN154" s="667"/>
      <c r="AO154" s="373"/>
      <c r="AP154" s="315"/>
      <c r="AQ154" s="315"/>
      <c r="AR154" s="348"/>
      <c r="AS154" s="349"/>
      <c r="AT154" s="348"/>
      <c r="AU154" s="349"/>
      <c r="AV154" s="313"/>
      <c r="AW154" s="313"/>
      <c r="AX154" s="667"/>
      <c r="AY154" s="373"/>
      <c r="AZ154" s="667"/>
      <c r="BA154" s="373"/>
      <c r="BB154" s="315"/>
      <c r="BC154" s="315"/>
      <c r="BD154" s="313"/>
      <c r="BE154" s="349"/>
      <c r="BF154" s="348"/>
      <c r="BG154" s="349"/>
      <c r="BH154" s="313"/>
      <c r="BI154" s="313"/>
      <c r="BJ154" s="315"/>
      <c r="BK154" s="373"/>
      <c r="BL154" s="667"/>
      <c r="BM154" s="373"/>
      <c r="BN154" s="315"/>
      <c r="BO154" s="315"/>
      <c r="BP154" s="313"/>
      <c r="BQ154" s="349"/>
      <c r="BR154" s="313"/>
      <c r="BS154" s="349"/>
      <c r="BT154" s="313"/>
      <c r="BU154" s="313"/>
      <c r="BV154" s="315"/>
      <c r="BW154" s="373"/>
      <c r="BX154" s="315"/>
      <c r="BY154" s="373"/>
      <c r="BZ154" s="315"/>
      <c r="CA154" s="315"/>
      <c r="CB154" s="353"/>
      <c r="CC154" s="313"/>
      <c r="CD154" s="522"/>
      <c r="CE154" s="526"/>
      <c r="CF154" s="527"/>
      <c r="CG154" s="526"/>
      <c r="CH154" s="527"/>
      <c r="CI154" s="526"/>
      <c r="CJ154" s="527"/>
      <c r="CK154" s="526"/>
      <c r="CL154" s="527"/>
      <c r="CM154" s="526"/>
      <c r="CN154" s="527"/>
      <c r="CO154" s="526"/>
      <c r="CP154" s="527"/>
      <c r="CQ154" s="526"/>
      <c r="CR154" s="527"/>
      <c r="CS154" s="522"/>
      <c r="CT154" s="313"/>
      <c r="CU154" s="313"/>
      <c r="CV154" s="313"/>
      <c r="CW154" s="313"/>
      <c r="CX154" s="313"/>
      <c r="CY154" s="313"/>
      <c r="CZ154" s="313"/>
      <c r="DA154" s="313"/>
      <c r="DB154" s="313"/>
      <c r="DC154" s="313"/>
    </row>
    <row r="155" spans="1:107" s="2" customFormat="1">
      <c r="A155" s="347"/>
      <c r="B155" s="347"/>
      <c r="C155" s="268"/>
      <c r="D155" s="346"/>
      <c r="E155" s="347"/>
      <c r="F155" s="349"/>
      <c r="G155" s="349"/>
      <c r="H155" s="348"/>
      <c r="I155" s="347"/>
      <c r="J155" s="348"/>
      <c r="K155" s="349"/>
      <c r="L155" s="348"/>
      <c r="M155" s="347"/>
      <c r="N155" s="347"/>
      <c r="O155" s="313"/>
      <c r="P155" s="313"/>
      <c r="Q155" s="313"/>
      <c r="R155" s="313"/>
      <c r="S155" s="313"/>
      <c r="T155" s="348"/>
      <c r="U155" s="349"/>
      <c r="V155" s="348"/>
      <c r="W155" s="349"/>
      <c r="X155" s="313"/>
      <c r="Y155" s="313"/>
      <c r="Z155" s="667"/>
      <c r="AA155" s="373"/>
      <c r="AB155" s="667"/>
      <c r="AC155" s="373"/>
      <c r="AD155" s="315"/>
      <c r="AE155" s="315"/>
      <c r="AF155" s="348"/>
      <c r="AG155" s="349"/>
      <c r="AH155" s="348"/>
      <c r="AI155" s="349"/>
      <c r="AJ155" s="313"/>
      <c r="AK155" s="313"/>
      <c r="AL155" s="667"/>
      <c r="AM155" s="373"/>
      <c r="AN155" s="667"/>
      <c r="AO155" s="373"/>
      <c r="AP155" s="315"/>
      <c r="AQ155" s="315"/>
      <c r="AR155" s="348"/>
      <c r="AS155" s="349"/>
      <c r="AT155" s="348"/>
      <c r="AU155" s="349"/>
      <c r="AV155" s="313"/>
      <c r="AW155" s="313"/>
      <c r="AX155" s="667"/>
      <c r="AY155" s="373"/>
      <c r="AZ155" s="667"/>
      <c r="BA155" s="373"/>
      <c r="BB155" s="315"/>
      <c r="BC155" s="315"/>
      <c r="BD155" s="313"/>
      <c r="BE155" s="349"/>
      <c r="BF155" s="348"/>
      <c r="BG155" s="349"/>
      <c r="BH155" s="313"/>
      <c r="BI155" s="313"/>
      <c r="BJ155" s="315"/>
      <c r="BK155" s="373"/>
      <c r="BL155" s="667"/>
      <c r="BM155" s="373"/>
      <c r="BN155" s="315"/>
      <c r="BO155" s="315"/>
      <c r="BP155" s="313"/>
      <c r="BQ155" s="349"/>
      <c r="BR155" s="313"/>
      <c r="BS155" s="349"/>
      <c r="BT155" s="313"/>
      <c r="BU155" s="313"/>
      <c r="BV155" s="315"/>
      <c r="BW155" s="373"/>
      <c r="BX155" s="315"/>
      <c r="BY155" s="373"/>
      <c r="BZ155" s="315"/>
      <c r="CA155" s="315"/>
      <c r="CB155" s="353"/>
      <c r="CC155" s="313"/>
      <c r="CD155" s="522"/>
      <c r="CE155" s="526"/>
      <c r="CF155" s="527"/>
      <c r="CG155" s="526"/>
      <c r="CH155" s="527"/>
      <c r="CI155" s="526"/>
      <c r="CJ155" s="527"/>
      <c r="CK155" s="526"/>
      <c r="CL155" s="527"/>
      <c r="CM155" s="526"/>
      <c r="CN155" s="527"/>
      <c r="CO155" s="526"/>
      <c r="CP155" s="527"/>
      <c r="CQ155" s="526"/>
      <c r="CR155" s="527"/>
      <c r="CS155" s="522"/>
      <c r="CT155" s="313"/>
      <c r="CU155" s="313"/>
      <c r="CV155" s="313"/>
      <c r="CW155" s="313"/>
      <c r="CX155" s="313"/>
      <c r="CY155" s="313"/>
      <c r="CZ155" s="313"/>
      <c r="DA155" s="313"/>
      <c r="DB155" s="313"/>
      <c r="DC155" s="313"/>
    </row>
    <row r="156" spans="1:107" s="2" customFormat="1">
      <c r="A156" s="347"/>
      <c r="B156" s="347"/>
      <c r="C156" s="268"/>
      <c r="D156" s="346"/>
      <c r="E156" s="347"/>
      <c r="F156" s="349"/>
      <c r="G156" s="349"/>
      <c r="H156" s="348"/>
      <c r="I156" s="347"/>
      <c r="J156" s="348"/>
      <c r="K156" s="349"/>
      <c r="L156" s="348"/>
      <c r="M156" s="347"/>
      <c r="N156" s="347"/>
      <c r="O156" s="313"/>
      <c r="P156" s="313"/>
      <c r="Q156" s="313"/>
      <c r="R156" s="313"/>
      <c r="S156" s="313"/>
      <c r="T156" s="348"/>
      <c r="U156" s="349"/>
      <c r="V156" s="348"/>
      <c r="W156" s="349"/>
      <c r="X156" s="313"/>
      <c r="Y156" s="313"/>
      <c r="Z156" s="667"/>
      <c r="AA156" s="373"/>
      <c r="AB156" s="667"/>
      <c r="AC156" s="373"/>
      <c r="AD156" s="315"/>
      <c r="AE156" s="315"/>
      <c r="AF156" s="348"/>
      <c r="AG156" s="349"/>
      <c r="AH156" s="348"/>
      <c r="AI156" s="349"/>
      <c r="AJ156" s="313"/>
      <c r="AK156" s="313"/>
      <c r="AL156" s="667"/>
      <c r="AM156" s="373"/>
      <c r="AN156" s="667"/>
      <c r="AO156" s="373"/>
      <c r="AP156" s="315"/>
      <c r="AQ156" s="315"/>
      <c r="AR156" s="348"/>
      <c r="AS156" s="349"/>
      <c r="AT156" s="348"/>
      <c r="AU156" s="349"/>
      <c r="AV156" s="313"/>
      <c r="AW156" s="313"/>
      <c r="AX156" s="667"/>
      <c r="AY156" s="373"/>
      <c r="AZ156" s="667"/>
      <c r="BA156" s="373"/>
      <c r="BB156" s="315"/>
      <c r="BC156" s="315"/>
      <c r="BD156" s="313"/>
      <c r="BE156" s="349"/>
      <c r="BF156" s="348"/>
      <c r="BG156" s="349"/>
      <c r="BH156" s="313"/>
      <c r="BI156" s="313"/>
      <c r="BJ156" s="315"/>
      <c r="BK156" s="373"/>
      <c r="BL156" s="667"/>
      <c r="BM156" s="373"/>
      <c r="BN156" s="315"/>
      <c r="BO156" s="315"/>
      <c r="BP156" s="313"/>
      <c r="BQ156" s="349"/>
      <c r="BR156" s="313"/>
      <c r="BS156" s="349"/>
      <c r="BT156" s="313"/>
      <c r="BU156" s="313"/>
      <c r="BV156" s="315"/>
      <c r="BW156" s="373"/>
      <c r="BX156" s="315"/>
      <c r="BY156" s="373"/>
      <c r="BZ156" s="315"/>
      <c r="CA156" s="315"/>
      <c r="CB156" s="353"/>
      <c r="CC156" s="313"/>
      <c r="CD156" s="522"/>
      <c r="CE156" s="526"/>
      <c r="CF156" s="527"/>
      <c r="CG156" s="526"/>
      <c r="CH156" s="527"/>
      <c r="CI156" s="526"/>
      <c r="CJ156" s="527"/>
      <c r="CK156" s="526"/>
      <c r="CL156" s="527"/>
      <c r="CM156" s="526"/>
      <c r="CN156" s="527"/>
      <c r="CO156" s="526"/>
      <c r="CP156" s="527"/>
      <c r="CQ156" s="526"/>
      <c r="CR156" s="527"/>
      <c r="CS156" s="522"/>
      <c r="CT156" s="313"/>
      <c r="CU156" s="313"/>
      <c r="CV156" s="313"/>
      <c r="CW156" s="313"/>
      <c r="CX156" s="313"/>
      <c r="CY156" s="313"/>
      <c r="CZ156" s="313"/>
      <c r="DA156" s="313"/>
      <c r="DB156" s="313"/>
      <c r="DC156" s="313"/>
    </row>
    <row r="157" spans="1:107" s="2" customFormat="1">
      <c r="A157" s="347"/>
      <c r="B157" s="347"/>
      <c r="C157" s="268"/>
      <c r="D157" s="346"/>
      <c r="E157" s="347"/>
      <c r="F157" s="349"/>
      <c r="G157" s="349"/>
      <c r="H157" s="348"/>
      <c r="I157" s="347"/>
      <c r="J157" s="348"/>
      <c r="K157" s="349"/>
      <c r="L157" s="348"/>
      <c r="M157" s="347"/>
      <c r="N157" s="347"/>
      <c r="O157" s="313"/>
      <c r="P157" s="313"/>
      <c r="Q157" s="313"/>
      <c r="R157" s="313"/>
      <c r="S157" s="313"/>
      <c r="T157" s="348"/>
      <c r="U157" s="349"/>
      <c r="V157" s="348"/>
      <c r="W157" s="349"/>
      <c r="X157" s="313"/>
      <c r="Y157" s="313"/>
      <c r="Z157" s="667"/>
      <c r="AA157" s="373"/>
      <c r="AB157" s="667"/>
      <c r="AC157" s="373"/>
      <c r="AD157" s="315"/>
      <c r="AE157" s="315"/>
      <c r="AF157" s="348"/>
      <c r="AG157" s="349"/>
      <c r="AH157" s="348"/>
      <c r="AI157" s="349"/>
      <c r="AJ157" s="313"/>
      <c r="AK157" s="313"/>
      <c r="AL157" s="667"/>
      <c r="AM157" s="373"/>
      <c r="AN157" s="667"/>
      <c r="AO157" s="373"/>
      <c r="AP157" s="315"/>
      <c r="AQ157" s="315"/>
      <c r="AR157" s="348"/>
      <c r="AS157" s="349"/>
      <c r="AT157" s="348"/>
      <c r="AU157" s="349"/>
      <c r="AV157" s="313"/>
      <c r="AW157" s="313"/>
      <c r="AX157" s="667"/>
      <c r="AY157" s="373"/>
      <c r="AZ157" s="667"/>
      <c r="BA157" s="373"/>
      <c r="BB157" s="315"/>
      <c r="BC157" s="315"/>
      <c r="BD157" s="313"/>
      <c r="BE157" s="349"/>
      <c r="BF157" s="348"/>
      <c r="BG157" s="349"/>
      <c r="BH157" s="313"/>
      <c r="BI157" s="313"/>
      <c r="BJ157" s="315"/>
      <c r="BK157" s="373"/>
      <c r="BL157" s="667"/>
      <c r="BM157" s="373"/>
      <c r="BN157" s="315"/>
      <c r="BO157" s="315"/>
      <c r="BP157" s="313"/>
      <c r="BQ157" s="349"/>
      <c r="BR157" s="313"/>
      <c r="BS157" s="349"/>
      <c r="BT157" s="313"/>
      <c r="BU157" s="313"/>
      <c r="BV157" s="315"/>
      <c r="BW157" s="373"/>
      <c r="BX157" s="315"/>
      <c r="BY157" s="373"/>
      <c r="BZ157" s="315"/>
      <c r="CA157" s="315"/>
      <c r="CB157" s="353"/>
      <c r="CC157" s="313"/>
      <c r="CD157" s="522"/>
      <c r="CE157" s="526"/>
      <c r="CF157" s="527"/>
      <c r="CG157" s="526"/>
      <c r="CH157" s="527"/>
      <c r="CI157" s="526"/>
      <c r="CJ157" s="527"/>
      <c r="CK157" s="526"/>
      <c r="CL157" s="527"/>
      <c r="CM157" s="526"/>
      <c r="CN157" s="527"/>
      <c r="CO157" s="526"/>
      <c r="CP157" s="527"/>
      <c r="CQ157" s="526"/>
      <c r="CR157" s="527"/>
      <c r="CS157" s="522"/>
      <c r="CT157" s="313"/>
      <c r="CU157" s="313"/>
      <c r="CV157" s="313"/>
      <c r="CW157" s="313"/>
      <c r="CX157" s="313"/>
      <c r="CY157" s="313"/>
      <c r="CZ157" s="313"/>
      <c r="DA157" s="313"/>
      <c r="DB157" s="313"/>
      <c r="DC157" s="313"/>
    </row>
    <row r="158" spans="1:107" s="2" customFormat="1">
      <c r="A158" s="347"/>
      <c r="B158" s="347"/>
      <c r="C158" s="268"/>
      <c r="D158" s="346"/>
      <c r="E158" s="347"/>
      <c r="F158" s="349"/>
      <c r="G158" s="349"/>
      <c r="H158" s="348"/>
      <c r="I158" s="347"/>
      <c r="J158" s="348"/>
      <c r="K158" s="349"/>
      <c r="L158" s="348"/>
      <c r="M158" s="347"/>
      <c r="N158" s="347"/>
      <c r="O158" s="313"/>
      <c r="P158" s="313"/>
      <c r="Q158" s="313"/>
      <c r="R158" s="313"/>
      <c r="S158" s="313"/>
      <c r="T158" s="348"/>
      <c r="U158" s="349"/>
      <c r="V158" s="348"/>
      <c r="W158" s="349"/>
      <c r="X158" s="313"/>
      <c r="Y158" s="313"/>
      <c r="Z158" s="667"/>
      <c r="AA158" s="373"/>
      <c r="AB158" s="667"/>
      <c r="AC158" s="373"/>
      <c r="AD158" s="315"/>
      <c r="AE158" s="315"/>
      <c r="AF158" s="348"/>
      <c r="AG158" s="349"/>
      <c r="AH158" s="348"/>
      <c r="AI158" s="349"/>
      <c r="AJ158" s="313"/>
      <c r="AK158" s="313"/>
      <c r="AL158" s="667"/>
      <c r="AM158" s="373"/>
      <c r="AN158" s="667"/>
      <c r="AO158" s="373"/>
      <c r="AP158" s="315"/>
      <c r="AQ158" s="315"/>
      <c r="AR158" s="348"/>
      <c r="AS158" s="349"/>
      <c r="AT158" s="348"/>
      <c r="AU158" s="349"/>
      <c r="AV158" s="313"/>
      <c r="AW158" s="313"/>
      <c r="AX158" s="667"/>
      <c r="AY158" s="373"/>
      <c r="AZ158" s="667"/>
      <c r="BA158" s="373"/>
      <c r="BB158" s="315"/>
      <c r="BC158" s="315"/>
      <c r="BD158" s="313"/>
      <c r="BE158" s="349"/>
      <c r="BF158" s="348"/>
      <c r="BG158" s="349"/>
      <c r="BH158" s="313"/>
      <c r="BI158" s="313"/>
      <c r="BJ158" s="315"/>
      <c r="BK158" s="373"/>
      <c r="BL158" s="667"/>
      <c r="BM158" s="373"/>
      <c r="BN158" s="315"/>
      <c r="BO158" s="315"/>
      <c r="BP158" s="313"/>
      <c r="BQ158" s="349"/>
      <c r="BR158" s="313"/>
      <c r="BS158" s="349"/>
      <c r="BT158" s="313"/>
      <c r="BU158" s="313"/>
      <c r="BV158" s="315"/>
      <c r="BW158" s="373"/>
      <c r="BX158" s="315"/>
      <c r="BY158" s="373"/>
      <c r="BZ158" s="315"/>
      <c r="CA158" s="315"/>
      <c r="CB158" s="353"/>
      <c r="CC158" s="313"/>
      <c r="CD158" s="522"/>
      <c r="CE158" s="526"/>
      <c r="CF158" s="527"/>
      <c r="CG158" s="526"/>
      <c r="CH158" s="527"/>
      <c r="CI158" s="526"/>
      <c r="CJ158" s="527"/>
      <c r="CK158" s="526"/>
      <c r="CL158" s="527"/>
      <c r="CM158" s="526"/>
      <c r="CN158" s="527"/>
      <c r="CO158" s="526"/>
      <c r="CP158" s="527"/>
      <c r="CQ158" s="526"/>
      <c r="CR158" s="527"/>
      <c r="CS158" s="522"/>
      <c r="CT158" s="313"/>
      <c r="CU158" s="313"/>
      <c r="CV158" s="313"/>
      <c r="CW158" s="313"/>
      <c r="CX158" s="313"/>
      <c r="CY158" s="313"/>
      <c r="CZ158" s="313"/>
      <c r="DA158" s="313"/>
      <c r="DB158" s="313"/>
      <c r="DC158" s="313"/>
    </row>
    <row r="159" spans="1:107" s="2" customFormat="1">
      <c r="A159" s="347"/>
      <c r="B159" s="347"/>
      <c r="C159" s="268"/>
      <c r="D159" s="346"/>
      <c r="E159" s="347"/>
      <c r="F159" s="349"/>
      <c r="G159" s="349"/>
      <c r="H159" s="348"/>
      <c r="I159" s="347"/>
      <c r="J159" s="348"/>
      <c r="K159" s="349"/>
      <c r="L159" s="348"/>
      <c r="M159" s="347"/>
      <c r="N159" s="347"/>
      <c r="O159" s="313"/>
      <c r="P159" s="313"/>
      <c r="Q159" s="313"/>
      <c r="R159" s="313"/>
      <c r="S159" s="313"/>
      <c r="T159" s="348"/>
      <c r="U159" s="349"/>
      <c r="V159" s="348"/>
      <c r="W159" s="349"/>
      <c r="X159" s="313"/>
      <c r="Y159" s="313"/>
      <c r="Z159" s="667"/>
      <c r="AA159" s="373"/>
      <c r="AB159" s="667"/>
      <c r="AC159" s="373"/>
      <c r="AD159" s="315"/>
      <c r="AE159" s="315"/>
      <c r="AF159" s="348"/>
      <c r="AG159" s="349"/>
      <c r="AH159" s="348"/>
      <c r="AI159" s="349"/>
      <c r="AJ159" s="313"/>
      <c r="AK159" s="313"/>
      <c r="AL159" s="667"/>
      <c r="AM159" s="373"/>
      <c r="AN159" s="667"/>
      <c r="AO159" s="373"/>
      <c r="AP159" s="315"/>
      <c r="AQ159" s="315"/>
      <c r="AR159" s="348"/>
      <c r="AS159" s="349"/>
      <c r="AT159" s="348"/>
      <c r="AU159" s="349"/>
      <c r="AV159" s="313"/>
      <c r="AW159" s="313"/>
      <c r="AX159" s="667"/>
      <c r="AY159" s="373"/>
      <c r="AZ159" s="667"/>
      <c r="BA159" s="373"/>
      <c r="BB159" s="315"/>
      <c r="BC159" s="315"/>
      <c r="BD159" s="313"/>
      <c r="BE159" s="349"/>
      <c r="BF159" s="348"/>
      <c r="BG159" s="349"/>
      <c r="BH159" s="313"/>
      <c r="BI159" s="313"/>
      <c r="BJ159" s="315"/>
      <c r="BK159" s="373"/>
      <c r="BL159" s="667"/>
      <c r="BM159" s="373"/>
      <c r="BN159" s="315"/>
      <c r="BO159" s="315"/>
      <c r="BP159" s="313"/>
      <c r="BQ159" s="349"/>
      <c r="BR159" s="313"/>
      <c r="BS159" s="349"/>
      <c r="BT159" s="313"/>
      <c r="BU159" s="313"/>
      <c r="BV159" s="315"/>
      <c r="BW159" s="373"/>
      <c r="BX159" s="315"/>
      <c r="BY159" s="373"/>
      <c r="BZ159" s="315"/>
      <c r="CA159" s="315"/>
      <c r="CB159" s="353"/>
      <c r="CC159" s="313"/>
      <c r="CD159" s="522"/>
      <c r="CE159" s="526"/>
      <c r="CF159" s="527"/>
      <c r="CG159" s="526"/>
      <c r="CH159" s="527"/>
      <c r="CI159" s="526"/>
      <c r="CJ159" s="527"/>
      <c r="CK159" s="526"/>
      <c r="CL159" s="527"/>
      <c r="CM159" s="526"/>
      <c r="CN159" s="527"/>
      <c r="CO159" s="526"/>
      <c r="CP159" s="527"/>
      <c r="CQ159" s="526"/>
      <c r="CR159" s="527"/>
      <c r="CS159" s="522"/>
      <c r="CT159" s="313"/>
      <c r="CU159" s="313"/>
      <c r="CV159" s="313"/>
      <c r="CW159" s="313"/>
      <c r="CX159" s="313"/>
      <c r="CY159" s="313"/>
      <c r="CZ159" s="313"/>
      <c r="DA159" s="313"/>
      <c r="DB159" s="313"/>
      <c r="DC159" s="313"/>
    </row>
    <row r="160" spans="1:107" s="2" customFormat="1">
      <c r="A160" s="347"/>
      <c r="B160" s="347"/>
      <c r="C160" s="268"/>
      <c r="D160" s="346"/>
      <c r="E160" s="347"/>
      <c r="F160" s="349"/>
      <c r="G160" s="349"/>
      <c r="H160" s="348"/>
      <c r="I160" s="347"/>
      <c r="J160" s="348"/>
      <c r="K160" s="349"/>
      <c r="L160" s="348"/>
      <c r="M160" s="347"/>
      <c r="N160" s="347"/>
      <c r="O160" s="313"/>
      <c r="P160" s="313"/>
      <c r="Q160" s="313"/>
      <c r="R160" s="313"/>
      <c r="S160" s="313"/>
      <c r="T160" s="348"/>
      <c r="U160" s="349"/>
      <c r="V160" s="348"/>
      <c r="W160" s="349"/>
      <c r="X160" s="313"/>
      <c r="Y160" s="313"/>
      <c r="Z160" s="667"/>
      <c r="AA160" s="373"/>
      <c r="AB160" s="667"/>
      <c r="AC160" s="373"/>
      <c r="AD160" s="315"/>
      <c r="AE160" s="315"/>
      <c r="AF160" s="348"/>
      <c r="AG160" s="349"/>
      <c r="AH160" s="348"/>
      <c r="AI160" s="349"/>
      <c r="AJ160" s="313"/>
      <c r="AK160" s="313"/>
      <c r="AL160" s="667"/>
      <c r="AM160" s="373"/>
      <c r="AN160" s="667"/>
      <c r="AO160" s="373"/>
      <c r="AP160" s="315"/>
      <c r="AQ160" s="315"/>
      <c r="AR160" s="348"/>
      <c r="AS160" s="349"/>
      <c r="AT160" s="348"/>
      <c r="AU160" s="349"/>
      <c r="AV160" s="313"/>
      <c r="AW160" s="313"/>
      <c r="AX160" s="667"/>
      <c r="AY160" s="373"/>
      <c r="AZ160" s="667"/>
      <c r="BA160" s="373"/>
      <c r="BB160" s="315"/>
      <c r="BC160" s="315"/>
      <c r="BD160" s="313"/>
      <c r="BE160" s="349"/>
      <c r="BF160" s="348"/>
      <c r="BG160" s="349"/>
      <c r="BH160" s="313"/>
      <c r="BI160" s="313"/>
      <c r="BJ160" s="315"/>
      <c r="BK160" s="373"/>
      <c r="BL160" s="667"/>
      <c r="BM160" s="373"/>
      <c r="BN160" s="315"/>
      <c r="BO160" s="315"/>
      <c r="BP160" s="313"/>
      <c r="BQ160" s="349"/>
      <c r="BR160" s="313"/>
      <c r="BS160" s="349"/>
      <c r="BT160" s="313"/>
      <c r="BU160" s="313"/>
      <c r="BV160" s="315"/>
      <c r="BW160" s="373"/>
      <c r="BX160" s="315"/>
      <c r="BY160" s="373"/>
      <c r="BZ160" s="315"/>
      <c r="CA160" s="315"/>
      <c r="CB160" s="353"/>
      <c r="CC160" s="313"/>
      <c r="CD160" s="522"/>
      <c r="CE160" s="526"/>
      <c r="CF160" s="527"/>
      <c r="CG160" s="526"/>
      <c r="CH160" s="527"/>
      <c r="CI160" s="526"/>
      <c r="CJ160" s="527"/>
      <c r="CK160" s="526"/>
      <c r="CL160" s="527"/>
      <c r="CM160" s="526"/>
      <c r="CN160" s="527"/>
      <c r="CO160" s="526"/>
      <c r="CP160" s="527"/>
      <c r="CQ160" s="526"/>
      <c r="CR160" s="527"/>
      <c r="CS160" s="522"/>
      <c r="CT160" s="313"/>
      <c r="CU160" s="313"/>
      <c r="CV160" s="313"/>
      <c r="CW160" s="313"/>
      <c r="CX160" s="313"/>
      <c r="CY160" s="313"/>
      <c r="CZ160" s="313"/>
      <c r="DA160" s="313"/>
      <c r="DB160" s="313"/>
      <c r="DC160" s="313"/>
    </row>
    <row r="161" spans="1:107" s="2" customFormat="1">
      <c r="A161" s="347"/>
      <c r="B161" s="347"/>
      <c r="C161" s="268"/>
      <c r="D161" s="346"/>
      <c r="E161" s="347"/>
      <c r="F161" s="349"/>
      <c r="G161" s="349"/>
      <c r="H161" s="348"/>
      <c r="I161" s="347"/>
      <c r="J161" s="348"/>
      <c r="K161" s="349"/>
      <c r="L161" s="348"/>
      <c r="M161" s="347"/>
      <c r="N161" s="347"/>
      <c r="O161" s="313"/>
      <c r="P161" s="313"/>
      <c r="Q161" s="313"/>
      <c r="R161" s="313"/>
      <c r="S161" s="313"/>
      <c r="T161" s="348"/>
      <c r="U161" s="349"/>
      <c r="V161" s="348"/>
      <c r="W161" s="349"/>
      <c r="X161" s="313"/>
      <c r="Y161" s="313"/>
      <c r="Z161" s="667"/>
      <c r="AA161" s="373"/>
      <c r="AB161" s="667"/>
      <c r="AC161" s="373"/>
      <c r="AD161" s="315"/>
      <c r="AE161" s="315"/>
      <c r="AF161" s="348"/>
      <c r="AG161" s="349"/>
      <c r="AH161" s="348"/>
      <c r="AI161" s="349"/>
      <c r="AJ161" s="313"/>
      <c r="AK161" s="313"/>
      <c r="AL161" s="667"/>
      <c r="AM161" s="373"/>
      <c r="AN161" s="667"/>
      <c r="AO161" s="373"/>
      <c r="AP161" s="315"/>
      <c r="AQ161" s="315"/>
      <c r="AR161" s="348"/>
      <c r="AS161" s="349"/>
      <c r="AT161" s="348"/>
      <c r="AU161" s="349"/>
      <c r="AV161" s="313"/>
      <c r="AW161" s="313"/>
      <c r="AX161" s="667"/>
      <c r="AY161" s="373"/>
      <c r="AZ161" s="667"/>
      <c r="BA161" s="373"/>
      <c r="BB161" s="315"/>
      <c r="BC161" s="315"/>
      <c r="BD161" s="313"/>
      <c r="BE161" s="349"/>
      <c r="BF161" s="348"/>
      <c r="BG161" s="349"/>
      <c r="BH161" s="313"/>
      <c r="BI161" s="313"/>
      <c r="BJ161" s="315"/>
      <c r="BK161" s="373"/>
      <c r="BL161" s="667"/>
      <c r="BM161" s="373"/>
      <c r="BN161" s="315"/>
      <c r="BO161" s="315"/>
      <c r="BP161" s="313"/>
      <c r="BQ161" s="349"/>
      <c r="BR161" s="313"/>
      <c r="BS161" s="349"/>
      <c r="BT161" s="313"/>
      <c r="BU161" s="313"/>
      <c r="BV161" s="315"/>
      <c r="BW161" s="373"/>
      <c r="BX161" s="315"/>
      <c r="BY161" s="373"/>
      <c r="BZ161" s="315"/>
      <c r="CA161" s="315"/>
      <c r="CB161" s="353"/>
      <c r="CC161" s="313"/>
      <c r="CD161" s="522"/>
      <c r="CE161" s="526"/>
      <c r="CF161" s="527"/>
      <c r="CG161" s="526"/>
      <c r="CH161" s="527"/>
      <c r="CI161" s="526"/>
      <c r="CJ161" s="527"/>
      <c r="CK161" s="526"/>
      <c r="CL161" s="527"/>
      <c r="CM161" s="526"/>
      <c r="CN161" s="527"/>
      <c r="CO161" s="526"/>
      <c r="CP161" s="527"/>
      <c r="CQ161" s="526"/>
      <c r="CR161" s="527"/>
      <c r="CS161" s="522"/>
      <c r="CT161" s="313"/>
      <c r="CU161" s="313"/>
      <c r="CV161" s="313"/>
      <c r="CW161" s="313"/>
      <c r="CX161" s="313"/>
      <c r="CY161" s="313"/>
      <c r="CZ161" s="313"/>
      <c r="DA161" s="313"/>
      <c r="DB161" s="313"/>
      <c r="DC161" s="313"/>
    </row>
    <row r="162" spans="1:107" s="2" customFormat="1">
      <c r="A162" s="347"/>
      <c r="B162" s="347"/>
      <c r="C162" s="268"/>
      <c r="D162" s="346"/>
      <c r="E162" s="347"/>
      <c r="F162" s="349"/>
      <c r="G162" s="349"/>
      <c r="H162" s="348"/>
      <c r="I162" s="347"/>
      <c r="J162" s="348"/>
      <c r="K162" s="349"/>
      <c r="L162" s="348"/>
      <c r="M162" s="347"/>
      <c r="N162" s="347"/>
      <c r="O162" s="313"/>
      <c r="P162" s="313"/>
      <c r="Q162" s="313"/>
      <c r="R162" s="313"/>
      <c r="S162" s="313"/>
      <c r="T162" s="348"/>
      <c r="U162" s="349"/>
      <c r="V162" s="348"/>
      <c r="W162" s="349"/>
      <c r="X162" s="313"/>
      <c r="Y162" s="313"/>
      <c r="Z162" s="667"/>
      <c r="AA162" s="373"/>
      <c r="AB162" s="667"/>
      <c r="AC162" s="373"/>
      <c r="AD162" s="315"/>
      <c r="AE162" s="315"/>
      <c r="AF162" s="348"/>
      <c r="AG162" s="349"/>
      <c r="AH162" s="348"/>
      <c r="AI162" s="349"/>
      <c r="AJ162" s="313"/>
      <c r="AK162" s="313"/>
      <c r="AL162" s="667"/>
      <c r="AM162" s="373"/>
      <c r="AN162" s="667"/>
      <c r="AO162" s="373"/>
      <c r="AP162" s="315"/>
      <c r="AQ162" s="315"/>
      <c r="AR162" s="348"/>
      <c r="AS162" s="349"/>
      <c r="AT162" s="348"/>
      <c r="AU162" s="349"/>
      <c r="AV162" s="313"/>
      <c r="AW162" s="313"/>
      <c r="AX162" s="667"/>
      <c r="AY162" s="373"/>
      <c r="AZ162" s="667"/>
      <c r="BA162" s="373"/>
      <c r="BB162" s="315"/>
      <c r="BC162" s="315"/>
      <c r="BD162" s="313"/>
      <c r="BE162" s="349"/>
      <c r="BF162" s="348"/>
      <c r="BG162" s="349"/>
      <c r="BH162" s="313"/>
      <c r="BI162" s="313"/>
      <c r="BJ162" s="315"/>
      <c r="BK162" s="373"/>
      <c r="BL162" s="667"/>
      <c r="BM162" s="373"/>
      <c r="BN162" s="315"/>
      <c r="BO162" s="315"/>
      <c r="BP162" s="313"/>
      <c r="BQ162" s="349"/>
      <c r="BR162" s="313"/>
      <c r="BS162" s="349"/>
      <c r="BT162" s="313"/>
      <c r="BU162" s="313"/>
      <c r="BV162" s="315"/>
      <c r="BW162" s="373"/>
      <c r="BX162" s="315"/>
      <c r="BY162" s="373"/>
      <c r="BZ162" s="315"/>
      <c r="CA162" s="315"/>
      <c r="CB162" s="353"/>
      <c r="CC162" s="313"/>
      <c r="CD162" s="522"/>
      <c r="CE162" s="526"/>
      <c r="CF162" s="527"/>
      <c r="CG162" s="526"/>
      <c r="CH162" s="527"/>
      <c r="CI162" s="526"/>
      <c r="CJ162" s="527"/>
      <c r="CK162" s="526"/>
      <c r="CL162" s="527"/>
      <c r="CM162" s="526"/>
      <c r="CN162" s="527"/>
      <c r="CO162" s="526"/>
      <c r="CP162" s="527"/>
      <c r="CQ162" s="526"/>
      <c r="CR162" s="527"/>
      <c r="CS162" s="522"/>
      <c r="CT162" s="313"/>
      <c r="CU162" s="313"/>
      <c r="CV162" s="313"/>
      <c r="CW162" s="313"/>
      <c r="CX162" s="313"/>
      <c r="CY162" s="313"/>
      <c r="CZ162" s="313"/>
      <c r="DA162" s="313"/>
      <c r="DB162" s="313"/>
      <c r="DC162" s="313"/>
    </row>
    <row r="163" spans="1:107" s="2" customFormat="1">
      <c r="A163" s="347"/>
      <c r="B163" s="347"/>
      <c r="C163" s="268"/>
      <c r="D163" s="346"/>
      <c r="E163" s="347"/>
      <c r="F163" s="349"/>
      <c r="G163" s="349"/>
      <c r="H163" s="348"/>
      <c r="I163" s="347"/>
      <c r="J163" s="348"/>
      <c r="K163" s="349"/>
      <c r="L163" s="348"/>
      <c r="M163" s="347"/>
      <c r="N163" s="347"/>
      <c r="O163" s="313"/>
      <c r="P163" s="313"/>
      <c r="Q163" s="313"/>
      <c r="R163" s="313"/>
      <c r="S163" s="313"/>
      <c r="T163" s="348"/>
      <c r="U163" s="349"/>
      <c r="V163" s="348"/>
      <c r="W163" s="349"/>
      <c r="X163" s="313"/>
      <c r="Y163" s="313"/>
      <c r="Z163" s="667"/>
      <c r="AA163" s="373"/>
      <c r="AB163" s="667"/>
      <c r="AC163" s="373"/>
      <c r="AD163" s="315"/>
      <c r="AE163" s="315"/>
      <c r="AF163" s="348"/>
      <c r="AG163" s="349"/>
      <c r="AH163" s="348"/>
      <c r="AI163" s="349"/>
      <c r="AJ163" s="313"/>
      <c r="AK163" s="313"/>
      <c r="AL163" s="667"/>
      <c r="AM163" s="373"/>
      <c r="AN163" s="667"/>
      <c r="AO163" s="373"/>
      <c r="AP163" s="315"/>
      <c r="AQ163" s="315"/>
      <c r="AR163" s="348"/>
      <c r="AS163" s="349"/>
      <c r="AT163" s="348"/>
      <c r="AU163" s="349"/>
      <c r="AV163" s="313"/>
      <c r="AW163" s="313"/>
      <c r="AX163" s="667"/>
      <c r="AY163" s="373"/>
      <c r="AZ163" s="667"/>
      <c r="BA163" s="373"/>
      <c r="BB163" s="315"/>
      <c r="BC163" s="315"/>
      <c r="BD163" s="313"/>
      <c r="BE163" s="349"/>
      <c r="BF163" s="348"/>
      <c r="BG163" s="349"/>
      <c r="BH163" s="313"/>
      <c r="BI163" s="313"/>
      <c r="BJ163" s="315"/>
      <c r="BK163" s="373"/>
      <c r="BL163" s="667"/>
      <c r="BM163" s="373"/>
      <c r="BN163" s="315"/>
      <c r="BO163" s="315"/>
      <c r="BP163" s="313"/>
      <c r="BQ163" s="349"/>
      <c r="BR163" s="313"/>
      <c r="BS163" s="349"/>
      <c r="BT163" s="313"/>
      <c r="BU163" s="313"/>
      <c r="BV163" s="315"/>
      <c r="BW163" s="373"/>
      <c r="BX163" s="315"/>
      <c r="BY163" s="373"/>
      <c r="BZ163" s="315"/>
      <c r="CA163" s="315"/>
      <c r="CB163" s="353"/>
      <c r="CC163" s="313"/>
      <c r="CD163" s="522"/>
      <c r="CE163" s="526"/>
      <c r="CF163" s="527"/>
      <c r="CG163" s="526"/>
      <c r="CH163" s="527"/>
      <c r="CI163" s="526"/>
      <c r="CJ163" s="527"/>
      <c r="CK163" s="526"/>
      <c r="CL163" s="527"/>
      <c r="CM163" s="526"/>
      <c r="CN163" s="527"/>
      <c r="CO163" s="526"/>
      <c r="CP163" s="527"/>
      <c r="CQ163" s="526"/>
      <c r="CR163" s="527"/>
      <c r="CS163" s="522"/>
      <c r="CT163" s="313"/>
      <c r="CU163" s="313"/>
      <c r="CV163" s="313"/>
      <c r="CW163" s="313"/>
      <c r="CX163" s="313"/>
      <c r="CY163" s="313"/>
      <c r="CZ163" s="313"/>
      <c r="DA163" s="313"/>
      <c r="DB163" s="313"/>
      <c r="DC163" s="313"/>
    </row>
    <row r="164" spans="1:107" s="2" customFormat="1">
      <c r="A164" s="347"/>
      <c r="B164" s="347"/>
      <c r="C164" s="268"/>
      <c r="D164" s="346"/>
      <c r="E164" s="347"/>
      <c r="F164" s="349"/>
      <c r="G164" s="349"/>
      <c r="H164" s="348"/>
      <c r="I164" s="347"/>
      <c r="J164" s="348"/>
      <c r="K164" s="349"/>
      <c r="L164" s="348"/>
      <c r="M164" s="347"/>
      <c r="N164" s="347"/>
      <c r="O164" s="313"/>
      <c r="P164" s="313"/>
      <c r="Q164" s="313"/>
      <c r="R164" s="313"/>
      <c r="S164" s="313"/>
      <c r="T164" s="348"/>
      <c r="U164" s="349"/>
      <c r="V164" s="348"/>
      <c r="W164" s="349"/>
      <c r="X164" s="313"/>
      <c r="Y164" s="313"/>
      <c r="Z164" s="667"/>
      <c r="AA164" s="373"/>
      <c r="AB164" s="667"/>
      <c r="AC164" s="373"/>
      <c r="AD164" s="315"/>
      <c r="AE164" s="315"/>
      <c r="AF164" s="348"/>
      <c r="AG164" s="349"/>
      <c r="AH164" s="348"/>
      <c r="AI164" s="349"/>
      <c r="AJ164" s="313"/>
      <c r="AK164" s="313"/>
      <c r="AL164" s="667"/>
      <c r="AM164" s="373"/>
      <c r="AN164" s="667"/>
      <c r="AO164" s="373"/>
      <c r="AP164" s="315"/>
      <c r="AQ164" s="315"/>
      <c r="AR164" s="348"/>
      <c r="AS164" s="349"/>
      <c r="AT164" s="348"/>
      <c r="AU164" s="349"/>
      <c r="AV164" s="313"/>
      <c r="AW164" s="313"/>
      <c r="AX164" s="667"/>
      <c r="AY164" s="373"/>
      <c r="AZ164" s="667"/>
      <c r="BA164" s="373"/>
      <c r="BB164" s="315"/>
      <c r="BC164" s="315"/>
      <c r="BD164" s="313"/>
      <c r="BE164" s="349"/>
      <c r="BF164" s="348"/>
      <c r="BG164" s="349"/>
      <c r="BH164" s="313"/>
      <c r="BI164" s="313"/>
      <c r="BJ164" s="315"/>
      <c r="BK164" s="373"/>
      <c r="BL164" s="667"/>
      <c r="BM164" s="373"/>
      <c r="BN164" s="315"/>
      <c r="BO164" s="315"/>
      <c r="BP164" s="313"/>
      <c r="BQ164" s="349"/>
      <c r="BR164" s="313"/>
      <c r="BS164" s="349"/>
      <c r="BT164" s="313"/>
      <c r="BU164" s="313"/>
      <c r="BV164" s="315"/>
      <c r="BW164" s="373"/>
      <c r="BX164" s="315"/>
      <c r="BY164" s="373"/>
      <c r="BZ164" s="315"/>
      <c r="CA164" s="315"/>
      <c r="CB164" s="353"/>
      <c r="CC164" s="313"/>
      <c r="CD164" s="522"/>
      <c r="CE164" s="526"/>
      <c r="CF164" s="527"/>
      <c r="CG164" s="526"/>
      <c r="CH164" s="527"/>
      <c r="CI164" s="526"/>
      <c r="CJ164" s="527"/>
      <c r="CK164" s="526"/>
      <c r="CL164" s="527"/>
      <c r="CM164" s="526"/>
      <c r="CN164" s="527"/>
      <c r="CO164" s="526"/>
      <c r="CP164" s="527"/>
      <c r="CQ164" s="526"/>
      <c r="CR164" s="527"/>
      <c r="CS164" s="522"/>
      <c r="CT164" s="313"/>
      <c r="CU164" s="313"/>
      <c r="CV164" s="313"/>
      <c r="CW164" s="313"/>
      <c r="CX164" s="313"/>
      <c r="CY164" s="313"/>
      <c r="CZ164" s="313"/>
      <c r="DA164" s="313"/>
      <c r="DB164" s="313"/>
      <c r="DC164" s="313"/>
    </row>
    <row r="165" spans="1:107" s="2" customFormat="1">
      <c r="A165" s="347"/>
      <c r="B165" s="347"/>
      <c r="C165" s="268"/>
      <c r="D165" s="346"/>
      <c r="E165" s="347"/>
      <c r="F165" s="349"/>
      <c r="G165" s="349"/>
      <c r="H165" s="348"/>
      <c r="I165" s="347"/>
      <c r="J165" s="348"/>
      <c r="K165" s="349"/>
      <c r="L165" s="348"/>
      <c r="M165" s="347"/>
      <c r="N165" s="347"/>
      <c r="O165" s="313"/>
      <c r="P165" s="313"/>
      <c r="Q165" s="313"/>
      <c r="R165" s="313"/>
      <c r="S165" s="313"/>
      <c r="T165" s="348"/>
      <c r="U165" s="349"/>
      <c r="V165" s="348"/>
      <c r="W165" s="349"/>
      <c r="X165" s="313"/>
      <c r="Y165" s="313"/>
      <c r="Z165" s="667"/>
      <c r="AA165" s="373"/>
      <c r="AB165" s="667"/>
      <c r="AC165" s="373"/>
      <c r="AD165" s="315"/>
      <c r="AE165" s="315"/>
      <c r="AF165" s="348"/>
      <c r="AG165" s="349"/>
      <c r="AH165" s="348"/>
      <c r="AI165" s="349"/>
      <c r="AJ165" s="313"/>
      <c r="AK165" s="313"/>
      <c r="AL165" s="667"/>
      <c r="AM165" s="373"/>
      <c r="AN165" s="667"/>
      <c r="AO165" s="373"/>
      <c r="AP165" s="315"/>
      <c r="AQ165" s="315"/>
      <c r="AR165" s="348"/>
      <c r="AS165" s="349"/>
      <c r="AT165" s="348"/>
      <c r="AU165" s="349"/>
      <c r="AV165" s="313"/>
      <c r="AW165" s="313"/>
      <c r="AX165" s="667"/>
      <c r="AY165" s="373"/>
      <c r="AZ165" s="667"/>
      <c r="BA165" s="373"/>
      <c r="BB165" s="315"/>
      <c r="BC165" s="315"/>
      <c r="BD165" s="313"/>
      <c r="BE165" s="349"/>
      <c r="BF165" s="348"/>
      <c r="BG165" s="349"/>
      <c r="BH165" s="313"/>
      <c r="BI165" s="313"/>
      <c r="BJ165" s="315"/>
      <c r="BK165" s="373"/>
      <c r="BL165" s="667"/>
      <c r="BM165" s="373"/>
      <c r="BN165" s="315"/>
      <c r="BO165" s="315"/>
      <c r="BP165" s="313"/>
      <c r="BQ165" s="349"/>
      <c r="BR165" s="313"/>
      <c r="BS165" s="349"/>
      <c r="BT165" s="313"/>
      <c r="BU165" s="313"/>
      <c r="BV165" s="315"/>
      <c r="BW165" s="373"/>
      <c r="BX165" s="315"/>
      <c r="BY165" s="373"/>
      <c r="BZ165" s="315"/>
      <c r="CA165" s="315"/>
      <c r="CB165" s="353"/>
      <c r="CC165" s="313"/>
      <c r="CD165" s="522"/>
      <c r="CE165" s="526"/>
      <c r="CF165" s="527"/>
      <c r="CG165" s="526"/>
      <c r="CH165" s="527"/>
      <c r="CI165" s="526"/>
      <c r="CJ165" s="527"/>
      <c r="CK165" s="526"/>
      <c r="CL165" s="527"/>
      <c r="CM165" s="526"/>
      <c r="CN165" s="527"/>
      <c r="CO165" s="526"/>
      <c r="CP165" s="527"/>
      <c r="CQ165" s="526"/>
      <c r="CR165" s="527"/>
      <c r="CS165" s="522"/>
      <c r="CT165" s="313"/>
      <c r="CU165" s="313"/>
      <c r="CV165" s="313"/>
      <c r="CW165" s="313"/>
      <c r="CX165" s="313"/>
      <c r="CY165" s="313"/>
      <c r="CZ165" s="313"/>
      <c r="DA165" s="313"/>
      <c r="DB165" s="313"/>
      <c r="DC165" s="313"/>
    </row>
    <row r="166" spans="1:107" s="2" customFormat="1">
      <c r="A166" s="347"/>
      <c r="B166" s="347"/>
      <c r="C166" s="268"/>
      <c r="D166" s="346"/>
      <c r="E166" s="347"/>
      <c r="F166" s="349"/>
      <c r="G166" s="349"/>
      <c r="H166" s="348"/>
      <c r="I166" s="347"/>
      <c r="J166" s="348"/>
      <c r="K166" s="349"/>
      <c r="L166" s="348"/>
      <c r="M166" s="347"/>
      <c r="N166" s="347"/>
      <c r="O166" s="313"/>
      <c r="P166" s="313"/>
      <c r="Q166" s="313"/>
      <c r="R166" s="313"/>
      <c r="S166" s="313"/>
      <c r="T166" s="348"/>
      <c r="U166" s="349"/>
      <c r="V166" s="348"/>
      <c r="W166" s="349"/>
      <c r="X166" s="313"/>
      <c r="Y166" s="313"/>
      <c r="Z166" s="667"/>
      <c r="AA166" s="373"/>
      <c r="AB166" s="667"/>
      <c r="AC166" s="373"/>
      <c r="AD166" s="315"/>
      <c r="AE166" s="315"/>
      <c r="AF166" s="348"/>
      <c r="AG166" s="349"/>
      <c r="AH166" s="348"/>
      <c r="AI166" s="349"/>
      <c r="AJ166" s="313"/>
      <c r="AK166" s="313"/>
      <c r="AL166" s="667"/>
      <c r="AM166" s="373"/>
      <c r="AN166" s="667"/>
      <c r="AO166" s="373"/>
      <c r="AP166" s="315"/>
      <c r="AQ166" s="315"/>
      <c r="AR166" s="348"/>
      <c r="AS166" s="349"/>
      <c r="AT166" s="348"/>
      <c r="AU166" s="349"/>
      <c r="AV166" s="313"/>
      <c r="AW166" s="313"/>
      <c r="AX166" s="667"/>
      <c r="AY166" s="373"/>
      <c r="AZ166" s="667"/>
      <c r="BA166" s="373"/>
      <c r="BB166" s="315"/>
      <c r="BC166" s="315"/>
      <c r="BD166" s="313"/>
      <c r="BE166" s="349"/>
      <c r="BF166" s="348"/>
      <c r="BG166" s="349"/>
      <c r="BH166" s="313"/>
      <c r="BI166" s="313"/>
      <c r="BJ166" s="315"/>
      <c r="BK166" s="373"/>
      <c r="BL166" s="667"/>
      <c r="BM166" s="373"/>
      <c r="BN166" s="315"/>
      <c r="BO166" s="315"/>
      <c r="BP166" s="313"/>
      <c r="BQ166" s="349"/>
      <c r="BR166" s="313"/>
      <c r="BS166" s="349"/>
      <c r="BT166" s="313"/>
      <c r="BU166" s="313"/>
      <c r="BV166" s="315"/>
      <c r="BW166" s="373"/>
      <c r="BX166" s="315"/>
      <c r="BY166" s="373"/>
      <c r="BZ166" s="315"/>
      <c r="CA166" s="315"/>
      <c r="CB166" s="353"/>
      <c r="CC166" s="313"/>
      <c r="CD166" s="522"/>
      <c r="CE166" s="526"/>
      <c r="CF166" s="527"/>
      <c r="CG166" s="526"/>
      <c r="CH166" s="527"/>
      <c r="CI166" s="526"/>
      <c r="CJ166" s="527"/>
      <c r="CK166" s="526"/>
      <c r="CL166" s="527"/>
      <c r="CM166" s="526"/>
      <c r="CN166" s="527"/>
      <c r="CO166" s="526"/>
      <c r="CP166" s="527"/>
      <c r="CQ166" s="526"/>
      <c r="CR166" s="527"/>
      <c r="CS166" s="522"/>
      <c r="CT166" s="313"/>
      <c r="CU166" s="313"/>
      <c r="CV166" s="313"/>
      <c r="CW166" s="313"/>
      <c r="CX166" s="313"/>
      <c r="CY166" s="313"/>
      <c r="CZ166" s="313"/>
      <c r="DA166" s="313"/>
      <c r="DB166" s="313"/>
      <c r="DC166" s="313"/>
    </row>
    <row r="167" spans="1:107" s="2" customFormat="1">
      <c r="A167" s="347"/>
      <c r="B167" s="347"/>
      <c r="C167" s="268"/>
      <c r="D167" s="346"/>
      <c r="E167" s="347"/>
      <c r="F167" s="349"/>
      <c r="G167" s="349"/>
      <c r="H167" s="348"/>
      <c r="I167" s="347"/>
      <c r="J167" s="348"/>
      <c r="K167" s="349"/>
      <c r="L167" s="348"/>
      <c r="M167" s="347"/>
      <c r="N167" s="347"/>
      <c r="O167" s="313"/>
      <c r="P167" s="313"/>
      <c r="Q167" s="313"/>
      <c r="R167" s="313"/>
      <c r="S167" s="313"/>
      <c r="T167" s="348"/>
      <c r="U167" s="349"/>
      <c r="V167" s="348"/>
      <c r="W167" s="349"/>
      <c r="X167" s="313"/>
      <c r="Y167" s="313"/>
      <c r="Z167" s="667"/>
      <c r="AA167" s="373"/>
      <c r="AB167" s="667"/>
      <c r="AC167" s="373"/>
      <c r="AD167" s="315"/>
      <c r="AE167" s="315"/>
      <c r="AF167" s="348"/>
      <c r="AG167" s="349"/>
      <c r="AH167" s="348"/>
      <c r="AI167" s="349"/>
      <c r="AJ167" s="313"/>
      <c r="AK167" s="313"/>
      <c r="AL167" s="667"/>
      <c r="AM167" s="373"/>
      <c r="AN167" s="667"/>
      <c r="AO167" s="373"/>
      <c r="AP167" s="315"/>
      <c r="AQ167" s="315"/>
      <c r="AR167" s="348"/>
      <c r="AS167" s="349"/>
      <c r="AT167" s="348"/>
      <c r="AU167" s="349"/>
      <c r="AV167" s="313"/>
      <c r="AW167" s="313"/>
      <c r="AX167" s="667"/>
      <c r="AY167" s="373"/>
      <c r="AZ167" s="667"/>
      <c r="BA167" s="373"/>
      <c r="BB167" s="315"/>
      <c r="BC167" s="315"/>
      <c r="BD167" s="313"/>
      <c r="BE167" s="349"/>
      <c r="BF167" s="348"/>
      <c r="BG167" s="349"/>
      <c r="BH167" s="313"/>
      <c r="BI167" s="313"/>
      <c r="BJ167" s="315"/>
      <c r="BK167" s="373"/>
      <c r="BL167" s="667"/>
      <c r="BM167" s="373"/>
      <c r="BN167" s="315"/>
      <c r="BO167" s="315"/>
      <c r="BP167" s="313"/>
      <c r="BQ167" s="349"/>
      <c r="BR167" s="313"/>
      <c r="BS167" s="349"/>
      <c r="BT167" s="313"/>
      <c r="BU167" s="313"/>
      <c r="BV167" s="315"/>
      <c r="BW167" s="373"/>
      <c r="BX167" s="315"/>
      <c r="BY167" s="373"/>
      <c r="BZ167" s="315"/>
      <c r="CA167" s="315"/>
      <c r="CB167" s="353"/>
      <c r="CC167" s="313"/>
      <c r="CD167" s="522"/>
      <c r="CE167" s="526"/>
      <c r="CF167" s="527"/>
      <c r="CG167" s="526"/>
      <c r="CH167" s="527"/>
      <c r="CI167" s="526"/>
      <c r="CJ167" s="527"/>
      <c r="CK167" s="526"/>
      <c r="CL167" s="527"/>
      <c r="CM167" s="526"/>
      <c r="CN167" s="527"/>
      <c r="CO167" s="526"/>
      <c r="CP167" s="527"/>
      <c r="CQ167" s="526"/>
      <c r="CR167" s="527"/>
      <c r="CS167" s="522"/>
      <c r="CT167" s="313"/>
      <c r="CU167" s="313"/>
      <c r="CV167" s="313"/>
      <c r="CW167" s="313"/>
      <c r="CX167" s="313"/>
      <c r="CY167" s="313"/>
      <c r="CZ167" s="313"/>
      <c r="DA167" s="313"/>
      <c r="DB167" s="313"/>
      <c r="DC167" s="313"/>
    </row>
    <row r="168" spans="1:107" s="2" customFormat="1">
      <c r="A168" s="347"/>
      <c r="B168" s="347"/>
      <c r="C168" s="268"/>
      <c r="D168" s="346"/>
      <c r="E168" s="347"/>
      <c r="F168" s="349"/>
      <c r="G168" s="349"/>
      <c r="H168" s="348"/>
      <c r="I168" s="347"/>
      <c r="J168" s="348"/>
      <c r="K168" s="349"/>
      <c r="L168" s="348"/>
      <c r="M168" s="347"/>
      <c r="N168" s="347"/>
      <c r="O168" s="313"/>
      <c r="P168" s="313"/>
      <c r="Q168" s="313"/>
      <c r="R168" s="313"/>
      <c r="S168" s="313"/>
      <c r="T168" s="348"/>
      <c r="U168" s="349"/>
      <c r="V168" s="348"/>
      <c r="W168" s="349"/>
      <c r="X168" s="313"/>
      <c r="Y168" s="313"/>
      <c r="Z168" s="667"/>
      <c r="AA168" s="373"/>
      <c r="AB168" s="667"/>
      <c r="AC168" s="373"/>
      <c r="AD168" s="315"/>
      <c r="AE168" s="315"/>
      <c r="AF168" s="348"/>
      <c r="AG168" s="349"/>
      <c r="AH168" s="348"/>
      <c r="AI168" s="349"/>
      <c r="AJ168" s="313"/>
      <c r="AK168" s="313"/>
      <c r="AL168" s="667"/>
      <c r="AM168" s="373"/>
      <c r="AN168" s="667"/>
      <c r="AO168" s="373"/>
      <c r="AP168" s="315"/>
      <c r="AQ168" s="315"/>
      <c r="AR168" s="348"/>
      <c r="AS168" s="349"/>
      <c r="AT168" s="348"/>
      <c r="AU168" s="349"/>
      <c r="AV168" s="313"/>
      <c r="AW168" s="313"/>
      <c r="AX168" s="667"/>
      <c r="AY168" s="373"/>
      <c r="AZ168" s="667"/>
      <c r="BA168" s="373"/>
      <c r="BB168" s="315"/>
      <c r="BC168" s="315"/>
      <c r="BD168" s="313"/>
      <c r="BE168" s="349"/>
      <c r="BF168" s="348"/>
      <c r="BG168" s="349"/>
      <c r="BH168" s="313"/>
      <c r="BI168" s="313"/>
      <c r="BJ168" s="315"/>
      <c r="BK168" s="373"/>
      <c r="BL168" s="667"/>
      <c r="BM168" s="373"/>
      <c r="BN168" s="315"/>
      <c r="BO168" s="315"/>
      <c r="BP168" s="313"/>
      <c r="BQ168" s="349"/>
      <c r="BR168" s="313"/>
      <c r="BS168" s="349"/>
      <c r="BT168" s="313"/>
      <c r="BU168" s="313"/>
      <c r="BV168" s="315"/>
      <c r="BW168" s="373"/>
      <c r="BX168" s="315"/>
      <c r="BY168" s="373"/>
      <c r="BZ168" s="315"/>
      <c r="CA168" s="315"/>
      <c r="CB168" s="353"/>
      <c r="CC168" s="313"/>
      <c r="CD168" s="522"/>
      <c r="CE168" s="526"/>
      <c r="CF168" s="527"/>
      <c r="CG168" s="526"/>
      <c r="CH168" s="527"/>
      <c r="CI168" s="526"/>
      <c r="CJ168" s="527"/>
      <c r="CK168" s="526"/>
      <c r="CL168" s="527"/>
      <c r="CM168" s="526"/>
      <c r="CN168" s="527"/>
      <c r="CO168" s="526"/>
      <c r="CP168" s="527"/>
      <c r="CQ168" s="526"/>
      <c r="CR168" s="527"/>
      <c r="CS168" s="522"/>
      <c r="CT168" s="313"/>
      <c r="CU168" s="313"/>
      <c r="CV168" s="313"/>
      <c r="CW168" s="313"/>
      <c r="CX168" s="313"/>
      <c r="CY168" s="313"/>
      <c r="CZ168" s="313"/>
      <c r="DA168" s="313"/>
      <c r="DB168" s="313"/>
      <c r="DC168" s="313"/>
    </row>
    <row r="169" spans="1:107" s="2" customFormat="1">
      <c r="A169" s="347"/>
      <c r="B169" s="347"/>
      <c r="C169" s="268"/>
      <c r="D169" s="346"/>
      <c r="E169" s="347"/>
      <c r="F169" s="349"/>
      <c r="G169" s="349"/>
      <c r="H169" s="348"/>
      <c r="I169" s="347"/>
      <c r="J169" s="348"/>
      <c r="K169" s="349"/>
      <c r="L169" s="348"/>
      <c r="M169" s="347"/>
      <c r="N169" s="347"/>
      <c r="O169" s="313"/>
      <c r="P169" s="313"/>
      <c r="Q169" s="313"/>
      <c r="R169" s="313"/>
      <c r="S169" s="313"/>
      <c r="T169" s="348"/>
      <c r="U169" s="349"/>
      <c r="V169" s="348"/>
      <c r="W169" s="349"/>
      <c r="X169" s="313"/>
      <c r="Y169" s="313"/>
      <c r="Z169" s="667"/>
      <c r="AA169" s="373"/>
      <c r="AB169" s="667"/>
      <c r="AC169" s="373"/>
      <c r="AD169" s="315"/>
      <c r="AE169" s="315"/>
      <c r="AF169" s="348"/>
      <c r="AG169" s="349"/>
      <c r="AH169" s="348"/>
      <c r="AI169" s="349"/>
      <c r="AJ169" s="313"/>
      <c r="AK169" s="313"/>
      <c r="AL169" s="667"/>
      <c r="AM169" s="373"/>
      <c r="AN169" s="667"/>
      <c r="AO169" s="373"/>
      <c r="AP169" s="315"/>
      <c r="AQ169" s="315"/>
      <c r="AR169" s="348"/>
      <c r="AS169" s="349"/>
      <c r="AT169" s="348"/>
      <c r="AU169" s="349"/>
      <c r="AV169" s="313"/>
      <c r="AW169" s="313"/>
      <c r="AX169" s="667"/>
      <c r="AY169" s="373"/>
      <c r="AZ169" s="667"/>
      <c r="BA169" s="373"/>
      <c r="BB169" s="315"/>
      <c r="BC169" s="315"/>
      <c r="BD169" s="313"/>
      <c r="BE169" s="349"/>
      <c r="BF169" s="348"/>
      <c r="BG169" s="349"/>
      <c r="BH169" s="313"/>
      <c r="BI169" s="313"/>
      <c r="BJ169" s="315"/>
      <c r="BK169" s="373"/>
      <c r="BL169" s="667"/>
      <c r="BM169" s="373"/>
      <c r="BN169" s="315"/>
      <c r="BO169" s="315"/>
      <c r="BP169" s="313"/>
      <c r="BQ169" s="349"/>
      <c r="BR169" s="313"/>
      <c r="BS169" s="349"/>
      <c r="BT169" s="313"/>
      <c r="BU169" s="313"/>
      <c r="BV169" s="315"/>
      <c r="BW169" s="373"/>
      <c r="BX169" s="315"/>
      <c r="BY169" s="373"/>
      <c r="BZ169" s="315"/>
      <c r="CA169" s="315"/>
      <c r="CB169" s="353"/>
      <c r="CC169" s="313"/>
      <c r="CD169" s="522"/>
      <c r="CE169" s="526"/>
      <c r="CF169" s="527"/>
      <c r="CG169" s="526"/>
      <c r="CH169" s="527"/>
      <c r="CI169" s="526"/>
      <c r="CJ169" s="527"/>
      <c r="CK169" s="526"/>
      <c r="CL169" s="527"/>
      <c r="CM169" s="526"/>
      <c r="CN169" s="527"/>
      <c r="CO169" s="526"/>
      <c r="CP169" s="527"/>
      <c r="CQ169" s="526"/>
      <c r="CR169" s="527"/>
      <c r="CS169" s="522"/>
      <c r="CT169" s="313"/>
      <c r="CU169" s="313"/>
      <c r="CV169" s="313"/>
      <c r="CW169" s="313"/>
      <c r="CX169" s="313"/>
      <c r="CY169" s="313"/>
      <c r="CZ169" s="313"/>
      <c r="DA169" s="313"/>
      <c r="DB169" s="313"/>
      <c r="DC169" s="313"/>
    </row>
    <row r="170" spans="1:107" s="2" customFormat="1">
      <c r="A170" s="347"/>
      <c r="B170" s="347"/>
      <c r="C170" s="268"/>
      <c r="D170" s="346"/>
      <c r="E170" s="347"/>
      <c r="F170" s="349"/>
      <c r="G170" s="349"/>
      <c r="H170" s="348"/>
      <c r="I170" s="347"/>
      <c r="J170" s="348"/>
      <c r="K170" s="349"/>
      <c r="L170" s="348"/>
      <c r="M170" s="347"/>
      <c r="N170" s="347"/>
      <c r="O170" s="313"/>
      <c r="P170" s="313"/>
      <c r="Q170" s="313"/>
      <c r="R170" s="313"/>
      <c r="S170" s="313"/>
      <c r="T170" s="348"/>
      <c r="U170" s="349"/>
      <c r="V170" s="348"/>
      <c r="W170" s="349"/>
      <c r="X170" s="313"/>
      <c r="Y170" s="313"/>
      <c r="Z170" s="667"/>
      <c r="AA170" s="373"/>
      <c r="AB170" s="667"/>
      <c r="AC170" s="373"/>
      <c r="AD170" s="315"/>
      <c r="AE170" s="315"/>
      <c r="AF170" s="348"/>
      <c r="AG170" s="349"/>
      <c r="AH170" s="348"/>
      <c r="AI170" s="349"/>
      <c r="AJ170" s="313"/>
      <c r="AK170" s="313"/>
      <c r="AL170" s="667"/>
      <c r="AM170" s="373"/>
      <c r="AN170" s="667"/>
      <c r="AO170" s="373"/>
      <c r="AP170" s="315"/>
      <c r="AQ170" s="315"/>
      <c r="AR170" s="348"/>
      <c r="AS170" s="349"/>
      <c r="AT170" s="348"/>
      <c r="AU170" s="349"/>
      <c r="AV170" s="313"/>
      <c r="AW170" s="313"/>
      <c r="AX170" s="667"/>
      <c r="AY170" s="373"/>
      <c r="AZ170" s="667"/>
      <c r="BA170" s="373"/>
      <c r="BB170" s="315"/>
      <c r="BC170" s="315"/>
      <c r="BD170" s="313"/>
      <c r="BE170" s="349"/>
      <c r="BF170" s="348"/>
      <c r="BG170" s="349"/>
      <c r="BH170" s="313"/>
      <c r="BI170" s="313"/>
      <c r="BJ170" s="315"/>
      <c r="BK170" s="373"/>
      <c r="BL170" s="667"/>
      <c r="BM170" s="373"/>
      <c r="BN170" s="315"/>
      <c r="BO170" s="315"/>
      <c r="BP170" s="313"/>
      <c r="BQ170" s="349"/>
      <c r="BR170" s="313"/>
      <c r="BS170" s="349"/>
      <c r="BT170" s="313"/>
      <c r="BU170" s="313"/>
      <c r="BV170" s="315"/>
      <c r="BW170" s="373"/>
      <c r="BX170" s="315"/>
      <c r="BY170" s="373"/>
      <c r="BZ170" s="315"/>
      <c r="CA170" s="315"/>
      <c r="CB170" s="353"/>
      <c r="CC170" s="313"/>
      <c r="CD170" s="522"/>
      <c r="CE170" s="526"/>
      <c r="CF170" s="527"/>
      <c r="CG170" s="526"/>
      <c r="CH170" s="527"/>
      <c r="CI170" s="526"/>
      <c r="CJ170" s="527"/>
      <c r="CK170" s="526"/>
      <c r="CL170" s="527"/>
      <c r="CM170" s="526"/>
      <c r="CN170" s="527"/>
      <c r="CO170" s="526"/>
      <c r="CP170" s="527"/>
      <c r="CQ170" s="526"/>
      <c r="CR170" s="527"/>
      <c r="CS170" s="522"/>
      <c r="CT170" s="313"/>
      <c r="CU170" s="313"/>
      <c r="CV170" s="313"/>
      <c r="CW170" s="313"/>
      <c r="CX170" s="313"/>
      <c r="CY170" s="313"/>
      <c r="CZ170" s="313"/>
      <c r="DA170" s="313"/>
      <c r="DB170" s="313"/>
      <c r="DC170" s="313"/>
    </row>
    <row r="171" spans="1:107" s="2" customFormat="1">
      <c r="A171" s="347"/>
      <c r="B171" s="347"/>
      <c r="C171" s="268"/>
      <c r="D171" s="346"/>
      <c r="E171" s="347"/>
      <c r="F171" s="349"/>
      <c r="G171" s="349"/>
      <c r="H171" s="348"/>
      <c r="I171" s="347"/>
      <c r="J171" s="348"/>
      <c r="K171" s="349"/>
      <c r="L171" s="348"/>
      <c r="M171" s="347"/>
      <c r="N171" s="347"/>
      <c r="O171" s="313"/>
      <c r="P171" s="313"/>
      <c r="Q171" s="313"/>
      <c r="R171" s="313"/>
      <c r="S171" s="313"/>
      <c r="T171" s="348"/>
      <c r="U171" s="349"/>
      <c r="V171" s="348"/>
      <c r="W171" s="349"/>
      <c r="X171" s="313"/>
      <c r="Y171" s="313"/>
      <c r="Z171" s="667"/>
      <c r="AA171" s="373"/>
      <c r="AB171" s="667"/>
      <c r="AC171" s="373"/>
      <c r="AD171" s="315"/>
      <c r="AE171" s="315"/>
      <c r="AF171" s="348"/>
      <c r="AG171" s="349"/>
      <c r="AH171" s="348"/>
      <c r="AI171" s="349"/>
      <c r="AJ171" s="313"/>
      <c r="AK171" s="313"/>
      <c r="AL171" s="667"/>
      <c r="AM171" s="373"/>
      <c r="AN171" s="667"/>
      <c r="AO171" s="373"/>
      <c r="AP171" s="315"/>
      <c r="AQ171" s="315"/>
      <c r="AR171" s="348"/>
      <c r="AS171" s="349"/>
      <c r="AT171" s="348"/>
      <c r="AU171" s="349"/>
      <c r="AV171" s="313"/>
      <c r="AW171" s="313"/>
      <c r="AX171" s="667"/>
      <c r="AY171" s="373"/>
      <c r="AZ171" s="667"/>
      <c r="BA171" s="373"/>
      <c r="BB171" s="315"/>
      <c r="BC171" s="315"/>
      <c r="BD171" s="313"/>
      <c r="BE171" s="349"/>
      <c r="BF171" s="348"/>
      <c r="BG171" s="349"/>
      <c r="BH171" s="313"/>
      <c r="BI171" s="313"/>
      <c r="BJ171" s="315"/>
      <c r="BK171" s="373"/>
      <c r="BL171" s="667"/>
      <c r="BM171" s="373"/>
      <c r="BN171" s="315"/>
      <c r="BO171" s="315"/>
      <c r="BP171" s="313"/>
      <c r="BQ171" s="349"/>
      <c r="BR171" s="313"/>
      <c r="BS171" s="349"/>
      <c r="BT171" s="313"/>
      <c r="BU171" s="313"/>
      <c r="BV171" s="315"/>
      <c r="BW171" s="373"/>
      <c r="BX171" s="315"/>
      <c r="BY171" s="373"/>
      <c r="BZ171" s="315"/>
      <c r="CA171" s="315"/>
      <c r="CB171" s="353"/>
      <c r="CC171" s="313"/>
      <c r="CD171" s="522"/>
      <c r="CE171" s="526"/>
      <c r="CF171" s="527"/>
      <c r="CG171" s="526"/>
      <c r="CH171" s="527"/>
      <c r="CI171" s="526"/>
      <c r="CJ171" s="527"/>
      <c r="CK171" s="526"/>
      <c r="CL171" s="527"/>
      <c r="CM171" s="526"/>
      <c r="CN171" s="527"/>
      <c r="CO171" s="526"/>
      <c r="CP171" s="527"/>
      <c r="CQ171" s="526"/>
      <c r="CR171" s="527"/>
      <c r="CS171" s="522"/>
      <c r="CT171" s="313"/>
      <c r="CU171" s="313"/>
      <c r="CV171" s="313"/>
      <c r="CW171" s="313"/>
      <c r="CX171" s="313"/>
      <c r="CY171" s="313"/>
      <c r="CZ171" s="313"/>
      <c r="DA171" s="313"/>
      <c r="DB171" s="313"/>
      <c r="DC171" s="313"/>
    </row>
    <row r="172" spans="1:107" s="2" customFormat="1">
      <c r="A172" s="347"/>
      <c r="B172" s="347"/>
      <c r="C172" s="268"/>
      <c r="D172" s="346"/>
      <c r="E172" s="347"/>
      <c r="F172" s="349"/>
      <c r="G172" s="349"/>
      <c r="H172" s="348"/>
      <c r="I172" s="347"/>
      <c r="J172" s="348"/>
      <c r="K172" s="349"/>
      <c r="L172" s="348"/>
      <c r="M172" s="347"/>
      <c r="N172" s="347"/>
      <c r="O172" s="313"/>
      <c r="P172" s="313"/>
      <c r="Q172" s="313"/>
      <c r="R172" s="313"/>
      <c r="S172" s="313"/>
      <c r="T172" s="348"/>
      <c r="U172" s="349"/>
      <c r="V172" s="348"/>
      <c r="W172" s="349"/>
      <c r="X172" s="313"/>
      <c r="Y172" s="313"/>
      <c r="Z172" s="667"/>
      <c r="AA172" s="373"/>
      <c r="AB172" s="667"/>
      <c r="AC172" s="373"/>
      <c r="AD172" s="315"/>
      <c r="AE172" s="315"/>
      <c r="AF172" s="348"/>
      <c r="AG172" s="349"/>
      <c r="AH172" s="348"/>
      <c r="AI172" s="349"/>
      <c r="AJ172" s="313"/>
      <c r="AK172" s="313"/>
      <c r="AL172" s="667"/>
      <c r="AM172" s="373"/>
      <c r="AN172" s="667"/>
      <c r="AO172" s="373"/>
      <c r="AP172" s="315"/>
      <c r="AQ172" s="315"/>
      <c r="AR172" s="348"/>
      <c r="AS172" s="349"/>
      <c r="AT172" s="348"/>
      <c r="AU172" s="349"/>
      <c r="AV172" s="313"/>
      <c r="AW172" s="313"/>
      <c r="AX172" s="667"/>
      <c r="AY172" s="373"/>
      <c r="AZ172" s="667"/>
      <c r="BA172" s="373"/>
      <c r="BB172" s="315"/>
      <c r="BC172" s="315"/>
      <c r="BD172" s="313"/>
      <c r="BE172" s="349"/>
      <c r="BF172" s="348"/>
      <c r="BG172" s="349"/>
      <c r="BH172" s="313"/>
      <c r="BI172" s="313"/>
      <c r="BJ172" s="315"/>
      <c r="BK172" s="373"/>
      <c r="BL172" s="667"/>
      <c r="BM172" s="373"/>
      <c r="BN172" s="315"/>
      <c r="BO172" s="315"/>
      <c r="BP172" s="313"/>
      <c r="BQ172" s="349"/>
      <c r="BR172" s="313"/>
      <c r="BS172" s="349"/>
      <c r="BT172" s="313"/>
      <c r="BU172" s="313"/>
      <c r="BV172" s="315"/>
      <c r="BW172" s="373"/>
      <c r="BX172" s="315"/>
      <c r="BY172" s="373"/>
      <c r="BZ172" s="315"/>
      <c r="CA172" s="315"/>
      <c r="CB172" s="353"/>
      <c r="CC172" s="313"/>
      <c r="CD172" s="522"/>
      <c r="CE172" s="526"/>
      <c r="CF172" s="527"/>
      <c r="CG172" s="526"/>
      <c r="CH172" s="527"/>
      <c r="CI172" s="526"/>
      <c r="CJ172" s="527"/>
      <c r="CK172" s="526"/>
      <c r="CL172" s="527"/>
      <c r="CM172" s="526"/>
      <c r="CN172" s="527"/>
      <c r="CO172" s="526"/>
      <c r="CP172" s="527"/>
      <c r="CQ172" s="526"/>
      <c r="CR172" s="527"/>
      <c r="CS172" s="522"/>
      <c r="CT172" s="313"/>
      <c r="CU172" s="313"/>
      <c r="CV172" s="313"/>
      <c r="CW172" s="313"/>
      <c r="CX172" s="313"/>
      <c r="CY172" s="313"/>
      <c r="CZ172" s="313"/>
      <c r="DA172" s="313"/>
      <c r="DB172" s="313"/>
      <c r="DC172" s="313"/>
    </row>
    <row r="173" spans="1:107" s="2" customFormat="1">
      <c r="A173" s="347"/>
      <c r="B173" s="347"/>
      <c r="C173" s="268"/>
      <c r="D173" s="346"/>
      <c r="E173" s="347"/>
      <c r="F173" s="349"/>
      <c r="G173" s="349"/>
      <c r="H173" s="348"/>
      <c r="I173" s="347"/>
      <c r="J173" s="348"/>
      <c r="K173" s="349"/>
      <c r="L173" s="348"/>
      <c r="M173" s="347"/>
      <c r="N173" s="347"/>
      <c r="O173" s="313"/>
      <c r="P173" s="313"/>
      <c r="Q173" s="313"/>
      <c r="R173" s="313"/>
      <c r="S173" s="313"/>
      <c r="T173" s="348"/>
      <c r="U173" s="349"/>
      <c r="V173" s="348"/>
      <c r="W173" s="349"/>
      <c r="X173" s="313"/>
      <c r="Y173" s="313"/>
      <c r="Z173" s="667"/>
      <c r="AA173" s="373"/>
      <c r="AB173" s="667"/>
      <c r="AC173" s="373"/>
      <c r="AD173" s="315"/>
      <c r="AE173" s="315"/>
      <c r="AF173" s="348"/>
      <c r="AG173" s="349"/>
      <c r="AH173" s="348"/>
      <c r="AI173" s="349"/>
      <c r="AJ173" s="313"/>
      <c r="AK173" s="313"/>
      <c r="AL173" s="667"/>
      <c r="AM173" s="373"/>
      <c r="AN173" s="667"/>
      <c r="AO173" s="373"/>
      <c r="AP173" s="315"/>
      <c r="AQ173" s="315"/>
      <c r="AR173" s="348"/>
      <c r="AS173" s="349"/>
      <c r="AT173" s="348"/>
      <c r="AU173" s="349"/>
      <c r="AV173" s="313"/>
      <c r="AW173" s="313"/>
      <c r="AX173" s="667"/>
      <c r="AY173" s="373"/>
      <c r="AZ173" s="667"/>
      <c r="BA173" s="373"/>
      <c r="BB173" s="315"/>
      <c r="BC173" s="315"/>
      <c r="BD173" s="313"/>
      <c r="BE173" s="349"/>
      <c r="BF173" s="348"/>
      <c r="BG173" s="349"/>
      <c r="BH173" s="313"/>
      <c r="BI173" s="313"/>
      <c r="BJ173" s="315"/>
      <c r="BK173" s="373"/>
      <c r="BL173" s="667"/>
      <c r="BM173" s="373"/>
      <c r="BN173" s="315"/>
      <c r="BO173" s="315"/>
      <c r="BP173" s="313"/>
      <c r="BQ173" s="349"/>
      <c r="BR173" s="313"/>
      <c r="BS173" s="349"/>
      <c r="BT173" s="313"/>
      <c r="BU173" s="313"/>
      <c r="BV173" s="315"/>
      <c r="BW173" s="373"/>
      <c r="BX173" s="315"/>
      <c r="BY173" s="373"/>
      <c r="BZ173" s="315"/>
      <c r="CA173" s="315"/>
      <c r="CB173" s="353"/>
      <c r="CC173" s="313"/>
      <c r="CD173" s="522"/>
      <c r="CE173" s="526"/>
      <c r="CF173" s="527"/>
      <c r="CG173" s="526"/>
      <c r="CH173" s="527"/>
      <c r="CI173" s="526"/>
      <c r="CJ173" s="527"/>
      <c r="CK173" s="526"/>
      <c r="CL173" s="527"/>
      <c r="CM173" s="526"/>
      <c r="CN173" s="527"/>
      <c r="CO173" s="526"/>
      <c r="CP173" s="527"/>
      <c r="CQ173" s="526"/>
      <c r="CR173" s="527"/>
      <c r="CS173" s="522"/>
      <c r="CT173" s="313"/>
      <c r="CU173" s="313"/>
      <c r="CV173" s="313"/>
      <c r="CW173" s="313"/>
      <c r="CX173" s="313"/>
      <c r="CY173" s="313"/>
      <c r="CZ173" s="313"/>
      <c r="DA173" s="313"/>
      <c r="DB173" s="313"/>
      <c r="DC173" s="313"/>
    </row>
    <row r="174" spans="1:107" s="2" customFormat="1">
      <c r="A174" s="347"/>
      <c r="B174" s="347"/>
      <c r="C174" s="268"/>
      <c r="D174" s="346"/>
      <c r="E174" s="347"/>
      <c r="F174" s="349"/>
      <c r="G174" s="349"/>
      <c r="H174" s="348"/>
      <c r="I174" s="347"/>
      <c r="J174" s="348"/>
      <c r="K174" s="349"/>
      <c r="L174" s="348"/>
      <c r="M174" s="347"/>
      <c r="N174" s="347"/>
      <c r="O174" s="313"/>
      <c r="P174" s="313"/>
      <c r="Q174" s="313"/>
      <c r="R174" s="313"/>
      <c r="S174" s="313"/>
      <c r="T174" s="348"/>
      <c r="U174" s="349"/>
      <c r="V174" s="348"/>
      <c r="W174" s="349"/>
      <c r="X174" s="313"/>
      <c r="Y174" s="313"/>
      <c r="Z174" s="667"/>
      <c r="AA174" s="373"/>
      <c r="AB174" s="667"/>
      <c r="AC174" s="373"/>
      <c r="AD174" s="315"/>
      <c r="AE174" s="315"/>
      <c r="AF174" s="348"/>
      <c r="AG174" s="349"/>
      <c r="AH174" s="348"/>
      <c r="AI174" s="349"/>
      <c r="AJ174" s="313"/>
      <c r="AK174" s="313"/>
      <c r="AL174" s="667"/>
      <c r="AM174" s="373"/>
      <c r="AN174" s="667"/>
      <c r="AO174" s="373"/>
      <c r="AP174" s="315"/>
      <c r="AQ174" s="315"/>
      <c r="AR174" s="348"/>
      <c r="AS174" s="349"/>
      <c r="AT174" s="348"/>
      <c r="AU174" s="349"/>
      <c r="AV174" s="313"/>
      <c r="AW174" s="313"/>
      <c r="AX174" s="667"/>
      <c r="AY174" s="373"/>
      <c r="AZ174" s="667"/>
      <c r="BA174" s="373"/>
      <c r="BB174" s="315"/>
      <c r="BC174" s="315"/>
      <c r="BD174" s="313"/>
      <c r="BE174" s="349"/>
      <c r="BF174" s="348"/>
      <c r="BG174" s="349"/>
      <c r="BH174" s="313"/>
      <c r="BI174" s="313"/>
      <c r="BJ174" s="315"/>
      <c r="BK174" s="373"/>
      <c r="BL174" s="667"/>
      <c r="BM174" s="373"/>
      <c r="BN174" s="315"/>
      <c r="BO174" s="315"/>
      <c r="BP174" s="313"/>
      <c r="BQ174" s="349"/>
      <c r="BR174" s="313"/>
      <c r="BS174" s="349"/>
      <c r="BT174" s="313"/>
      <c r="BU174" s="313"/>
      <c r="BV174" s="315"/>
      <c r="BW174" s="373"/>
      <c r="BX174" s="315"/>
      <c r="BY174" s="373"/>
      <c r="BZ174" s="315"/>
      <c r="CA174" s="315"/>
      <c r="CB174" s="353"/>
      <c r="CC174" s="313"/>
      <c r="CD174" s="522"/>
      <c r="CE174" s="526"/>
      <c r="CF174" s="527"/>
      <c r="CG174" s="526"/>
      <c r="CH174" s="527"/>
      <c r="CI174" s="526"/>
      <c r="CJ174" s="527"/>
      <c r="CK174" s="526"/>
      <c r="CL174" s="527"/>
      <c r="CM174" s="526"/>
      <c r="CN174" s="527"/>
      <c r="CO174" s="526"/>
      <c r="CP174" s="527"/>
      <c r="CQ174" s="526"/>
      <c r="CR174" s="527"/>
      <c r="CS174" s="522"/>
      <c r="CT174" s="313"/>
      <c r="CU174" s="313"/>
      <c r="CV174" s="313"/>
      <c r="CW174" s="313"/>
      <c r="CX174" s="313"/>
      <c r="CY174" s="313"/>
      <c r="CZ174" s="313"/>
      <c r="DA174" s="313"/>
      <c r="DB174" s="313"/>
      <c r="DC174" s="313"/>
    </row>
    <row r="175" spans="1:107" s="2" customFormat="1">
      <c r="A175" s="347"/>
      <c r="B175" s="347"/>
      <c r="C175" s="268"/>
      <c r="D175" s="346"/>
      <c r="E175" s="347"/>
      <c r="F175" s="349"/>
      <c r="G175" s="349"/>
      <c r="H175" s="348"/>
      <c r="I175" s="347"/>
      <c r="J175" s="348"/>
      <c r="K175" s="349"/>
      <c r="L175" s="348"/>
      <c r="M175" s="347"/>
      <c r="N175" s="347"/>
      <c r="O175" s="313"/>
      <c r="P175" s="313"/>
      <c r="Q175" s="313"/>
      <c r="R175" s="313"/>
      <c r="S175" s="313"/>
      <c r="T175" s="348"/>
      <c r="U175" s="349"/>
      <c r="V175" s="348"/>
      <c r="W175" s="349"/>
      <c r="X175" s="313"/>
      <c r="Y175" s="313"/>
      <c r="Z175" s="667"/>
      <c r="AA175" s="373"/>
      <c r="AB175" s="667"/>
      <c r="AC175" s="373"/>
      <c r="AD175" s="315"/>
      <c r="AE175" s="315"/>
      <c r="AF175" s="348"/>
      <c r="AG175" s="349"/>
      <c r="AH175" s="348"/>
      <c r="AI175" s="349"/>
      <c r="AJ175" s="313"/>
      <c r="AK175" s="313"/>
      <c r="AL175" s="667"/>
      <c r="AM175" s="373"/>
      <c r="AN175" s="667"/>
      <c r="AO175" s="373"/>
      <c r="AP175" s="315"/>
      <c r="AQ175" s="315"/>
      <c r="AR175" s="348"/>
      <c r="AS175" s="349"/>
      <c r="AT175" s="348"/>
      <c r="AU175" s="349"/>
      <c r="AV175" s="313"/>
      <c r="AW175" s="313"/>
      <c r="AX175" s="667"/>
      <c r="AY175" s="373"/>
      <c r="AZ175" s="667"/>
      <c r="BA175" s="373"/>
      <c r="BB175" s="315"/>
      <c r="BC175" s="315"/>
      <c r="BD175" s="313"/>
      <c r="BE175" s="349"/>
      <c r="BF175" s="348"/>
      <c r="BG175" s="349"/>
      <c r="BH175" s="313"/>
      <c r="BI175" s="313"/>
      <c r="BJ175" s="315"/>
      <c r="BK175" s="373"/>
      <c r="BL175" s="667"/>
      <c r="BM175" s="373"/>
      <c r="BN175" s="315"/>
      <c r="BO175" s="315"/>
      <c r="BP175" s="313"/>
      <c r="BQ175" s="349"/>
      <c r="BR175" s="313"/>
      <c r="BS175" s="349"/>
      <c r="BT175" s="313"/>
      <c r="BU175" s="313"/>
      <c r="BV175" s="315"/>
      <c r="BW175" s="373"/>
      <c r="BX175" s="315"/>
      <c r="BY175" s="373"/>
      <c r="BZ175" s="315"/>
      <c r="CA175" s="315"/>
      <c r="CB175" s="353"/>
      <c r="CC175" s="313"/>
      <c r="CD175" s="522"/>
      <c r="CE175" s="526"/>
      <c r="CF175" s="527"/>
      <c r="CG175" s="526"/>
      <c r="CH175" s="527"/>
      <c r="CI175" s="526"/>
      <c r="CJ175" s="527"/>
      <c r="CK175" s="526"/>
      <c r="CL175" s="527"/>
      <c r="CM175" s="526"/>
      <c r="CN175" s="527"/>
      <c r="CO175" s="526"/>
      <c r="CP175" s="527"/>
      <c r="CQ175" s="526"/>
      <c r="CR175" s="527"/>
      <c r="CS175" s="522"/>
      <c r="CT175" s="313"/>
      <c r="CU175" s="313"/>
      <c r="CV175" s="313"/>
      <c r="CW175" s="313"/>
      <c r="CX175" s="313"/>
      <c r="CY175" s="313"/>
      <c r="CZ175" s="313"/>
      <c r="DA175" s="313"/>
      <c r="DB175" s="313"/>
      <c r="DC175" s="313"/>
    </row>
    <row r="176" spans="1:107" s="2" customFormat="1">
      <c r="A176" s="347"/>
      <c r="B176" s="347"/>
      <c r="C176" s="268"/>
      <c r="D176" s="346"/>
      <c r="E176" s="347"/>
      <c r="F176" s="349"/>
      <c r="G176" s="349"/>
      <c r="H176" s="348"/>
      <c r="I176" s="347"/>
      <c r="J176" s="348"/>
      <c r="K176" s="349"/>
      <c r="L176" s="348"/>
      <c r="M176" s="347"/>
      <c r="N176" s="347"/>
      <c r="O176" s="313"/>
      <c r="P176" s="313"/>
      <c r="Q176" s="313"/>
      <c r="R176" s="313"/>
      <c r="S176" s="313"/>
      <c r="T176" s="348"/>
      <c r="U176" s="349"/>
      <c r="V176" s="348"/>
      <c r="W176" s="349"/>
      <c r="X176" s="313"/>
      <c r="Y176" s="313"/>
      <c r="Z176" s="667"/>
      <c r="AA176" s="373"/>
      <c r="AB176" s="667"/>
      <c r="AC176" s="373"/>
      <c r="AD176" s="315"/>
      <c r="AE176" s="315"/>
      <c r="AF176" s="348"/>
      <c r="AG176" s="349"/>
      <c r="AH176" s="348"/>
      <c r="AI176" s="349"/>
      <c r="AJ176" s="313"/>
      <c r="AK176" s="313"/>
      <c r="AL176" s="667"/>
      <c r="AM176" s="373"/>
      <c r="AN176" s="667"/>
      <c r="AO176" s="373"/>
      <c r="AP176" s="315"/>
      <c r="AQ176" s="315"/>
      <c r="AR176" s="348"/>
      <c r="AS176" s="349"/>
      <c r="AT176" s="348"/>
      <c r="AU176" s="349"/>
      <c r="AV176" s="313"/>
      <c r="AW176" s="313"/>
      <c r="AX176" s="667"/>
      <c r="AY176" s="373"/>
      <c r="AZ176" s="667"/>
      <c r="BA176" s="373"/>
      <c r="BB176" s="315"/>
      <c r="BC176" s="315"/>
      <c r="BD176" s="313"/>
      <c r="BE176" s="349"/>
      <c r="BF176" s="348"/>
      <c r="BG176" s="349"/>
      <c r="BH176" s="313"/>
      <c r="BI176" s="313"/>
      <c r="BJ176" s="315"/>
      <c r="BK176" s="373"/>
      <c r="BL176" s="667"/>
      <c r="BM176" s="373"/>
      <c r="BN176" s="315"/>
      <c r="BO176" s="315"/>
      <c r="BP176" s="313"/>
      <c r="BQ176" s="349"/>
      <c r="BR176" s="313"/>
      <c r="BS176" s="349"/>
      <c r="BT176" s="313"/>
      <c r="BU176" s="313"/>
      <c r="BV176" s="315"/>
      <c r="BW176" s="373"/>
      <c r="BX176" s="315"/>
      <c r="BY176" s="373"/>
      <c r="BZ176" s="315"/>
      <c r="CA176" s="315"/>
      <c r="CB176" s="353"/>
      <c r="CC176" s="313"/>
      <c r="CD176" s="522"/>
      <c r="CE176" s="526"/>
      <c r="CF176" s="527"/>
      <c r="CG176" s="526"/>
      <c r="CH176" s="527"/>
      <c r="CI176" s="526"/>
      <c r="CJ176" s="527"/>
      <c r="CK176" s="526"/>
      <c r="CL176" s="527"/>
      <c r="CM176" s="526"/>
      <c r="CN176" s="527"/>
      <c r="CO176" s="526"/>
      <c r="CP176" s="527"/>
      <c r="CQ176" s="526"/>
      <c r="CR176" s="527"/>
      <c r="CS176" s="522"/>
      <c r="CT176" s="313"/>
      <c r="CU176" s="313"/>
      <c r="CV176" s="313"/>
      <c r="CW176" s="313"/>
      <c r="CX176" s="313"/>
      <c r="CY176" s="313"/>
      <c r="CZ176" s="313"/>
      <c r="DA176" s="313"/>
      <c r="DB176" s="313"/>
      <c r="DC176" s="313"/>
    </row>
    <row r="177" spans="1:107" s="2" customFormat="1">
      <c r="A177" s="347"/>
      <c r="B177" s="347"/>
      <c r="C177" s="268"/>
      <c r="D177" s="346"/>
      <c r="E177" s="347"/>
      <c r="F177" s="349"/>
      <c r="G177" s="349"/>
      <c r="H177" s="348"/>
      <c r="I177" s="347"/>
      <c r="J177" s="348"/>
      <c r="K177" s="349"/>
      <c r="L177" s="348"/>
      <c r="M177" s="347"/>
      <c r="N177" s="347"/>
      <c r="O177" s="313"/>
      <c r="P177" s="313"/>
      <c r="Q177" s="313"/>
      <c r="R177" s="313"/>
      <c r="S177" s="313"/>
      <c r="T177" s="348"/>
      <c r="U177" s="349"/>
      <c r="V177" s="348"/>
      <c r="W177" s="349"/>
      <c r="X177" s="313"/>
      <c r="Y177" s="313"/>
      <c r="Z177" s="667"/>
      <c r="AA177" s="373"/>
      <c r="AB177" s="667"/>
      <c r="AC177" s="373"/>
      <c r="AD177" s="315"/>
      <c r="AE177" s="315"/>
      <c r="AF177" s="348"/>
      <c r="AG177" s="349"/>
      <c r="AH177" s="348"/>
      <c r="AI177" s="349"/>
      <c r="AJ177" s="313"/>
      <c r="AK177" s="313"/>
      <c r="AL177" s="667"/>
      <c r="AM177" s="373"/>
      <c r="AN177" s="667"/>
      <c r="AO177" s="373"/>
      <c r="AP177" s="315"/>
      <c r="AQ177" s="315"/>
      <c r="AR177" s="348"/>
      <c r="AS177" s="349"/>
      <c r="AT177" s="348"/>
      <c r="AU177" s="349"/>
      <c r="AV177" s="313"/>
      <c r="AW177" s="313"/>
      <c r="AX177" s="667"/>
      <c r="AY177" s="373"/>
      <c r="AZ177" s="667"/>
      <c r="BA177" s="373"/>
      <c r="BB177" s="315"/>
      <c r="BC177" s="315"/>
      <c r="BD177" s="313"/>
      <c r="BE177" s="349"/>
      <c r="BF177" s="348"/>
      <c r="BG177" s="349"/>
      <c r="BH177" s="313"/>
      <c r="BI177" s="313"/>
      <c r="BJ177" s="315"/>
      <c r="BK177" s="373"/>
      <c r="BL177" s="667"/>
      <c r="BM177" s="373"/>
      <c r="BN177" s="315"/>
      <c r="BO177" s="315"/>
      <c r="BP177" s="313"/>
      <c r="BQ177" s="349"/>
      <c r="BR177" s="313"/>
      <c r="BS177" s="349"/>
      <c r="BT177" s="313"/>
      <c r="BU177" s="313"/>
      <c r="BV177" s="315"/>
      <c r="BW177" s="373"/>
      <c r="BX177" s="315"/>
      <c r="BY177" s="373"/>
      <c r="BZ177" s="315"/>
      <c r="CA177" s="315"/>
      <c r="CB177" s="353"/>
      <c r="CC177" s="313"/>
      <c r="CD177" s="522"/>
      <c r="CE177" s="526"/>
      <c r="CF177" s="527"/>
      <c r="CG177" s="526"/>
      <c r="CH177" s="527"/>
      <c r="CI177" s="526"/>
      <c r="CJ177" s="527"/>
      <c r="CK177" s="526"/>
      <c r="CL177" s="527"/>
      <c r="CM177" s="526"/>
      <c r="CN177" s="527"/>
      <c r="CO177" s="526"/>
      <c r="CP177" s="527"/>
      <c r="CQ177" s="526"/>
      <c r="CR177" s="527"/>
      <c r="CS177" s="522"/>
      <c r="CT177" s="313"/>
      <c r="CU177" s="313"/>
      <c r="CV177" s="313"/>
      <c r="CW177" s="313"/>
      <c r="CX177" s="313"/>
      <c r="CY177" s="313"/>
      <c r="CZ177" s="313"/>
      <c r="DA177" s="313"/>
      <c r="DB177" s="313"/>
      <c r="DC177" s="313"/>
    </row>
    <row r="178" spans="1:107" s="2" customFormat="1">
      <c r="A178" s="347"/>
      <c r="B178" s="347"/>
      <c r="C178" s="268"/>
      <c r="D178" s="346"/>
      <c r="E178" s="347"/>
      <c r="F178" s="349"/>
      <c r="G178" s="349"/>
      <c r="H178" s="348"/>
      <c r="I178" s="347"/>
      <c r="J178" s="348"/>
      <c r="K178" s="349"/>
      <c r="L178" s="348"/>
      <c r="M178" s="347"/>
      <c r="N178" s="347"/>
      <c r="O178" s="313"/>
      <c r="P178" s="313"/>
      <c r="Q178" s="313"/>
      <c r="R178" s="313"/>
      <c r="S178" s="313"/>
      <c r="T178" s="348"/>
      <c r="U178" s="349"/>
      <c r="V178" s="348"/>
      <c r="W178" s="349"/>
      <c r="X178" s="313"/>
      <c r="Y178" s="313"/>
      <c r="Z178" s="667"/>
      <c r="AA178" s="373"/>
      <c r="AB178" s="667"/>
      <c r="AC178" s="373"/>
      <c r="AD178" s="315"/>
      <c r="AE178" s="315"/>
      <c r="AF178" s="348"/>
      <c r="AG178" s="349"/>
      <c r="AH178" s="348"/>
      <c r="AI178" s="349"/>
      <c r="AJ178" s="313"/>
      <c r="AK178" s="313"/>
      <c r="AL178" s="667"/>
      <c r="AM178" s="373"/>
      <c r="AN178" s="667"/>
      <c r="AO178" s="373"/>
      <c r="AP178" s="315"/>
      <c r="AQ178" s="315"/>
      <c r="AR178" s="348"/>
      <c r="AS178" s="349"/>
      <c r="AT178" s="348"/>
      <c r="AU178" s="349"/>
      <c r="AV178" s="313"/>
      <c r="AW178" s="313"/>
      <c r="AX178" s="667"/>
      <c r="AY178" s="373"/>
      <c r="AZ178" s="667"/>
      <c r="BA178" s="373"/>
      <c r="BB178" s="315"/>
      <c r="BC178" s="315"/>
      <c r="BD178" s="313"/>
      <c r="BE178" s="349"/>
      <c r="BF178" s="348"/>
      <c r="BG178" s="349"/>
      <c r="BH178" s="313"/>
      <c r="BI178" s="313"/>
      <c r="BJ178" s="315"/>
      <c r="BK178" s="373"/>
      <c r="BL178" s="667"/>
      <c r="BM178" s="373"/>
      <c r="BN178" s="315"/>
      <c r="BO178" s="315"/>
      <c r="BP178" s="313"/>
      <c r="BQ178" s="349"/>
      <c r="BR178" s="313"/>
      <c r="BS178" s="349"/>
      <c r="BT178" s="313"/>
      <c r="BU178" s="313"/>
      <c r="BV178" s="315"/>
      <c r="BW178" s="373"/>
      <c r="BX178" s="315"/>
      <c r="BY178" s="373"/>
      <c r="BZ178" s="315"/>
      <c r="CA178" s="315"/>
      <c r="CB178" s="353"/>
      <c r="CC178" s="313"/>
      <c r="CD178" s="522"/>
      <c r="CE178" s="526"/>
      <c r="CF178" s="527"/>
      <c r="CG178" s="526"/>
      <c r="CH178" s="527"/>
      <c r="CI178" s="526"/>
      <c r="CJ178" s="527"/>
      <c r="CK178" s="526"/>
      <c r="CL178" s="527"/>
      <c r="CM178" s="526"/>
      <c r="CN178" s="527"/>
      <c r="CO178" s="526"/>
      <c r="CP178" s="527"/>
      <c r="CQ178" s="526"/>
      <c r="CR178" s="527"/>
      <c r="CS178" s="522"/>
      <c r="CT178" s="313"/>
      <c r="CU178" s="313"/>
      <c r="CV178" s="313"/>
      <c r="CW178" s="313"/>
      <c r="CX178" s="313"/>
      <c r="CY178" s="313"/>
      <c r="CZ178" s="313"/>
      <c r="DA178" s="313"/>
      <c r="DB178" s="313"/>
      <c r="DC178" s="313"/>
    </row>
    <row r="179" spans="1:107" s="2" customFormat="1">
      <c r="A179" s="347"/>
      <c r="B179" s="347"/>
      <c r="C179" s="268"/>
      <c r="D179" s="346"/>
      <c r="E179" s="347"/>
      <c r="F179" s="349"/>
      <c r="G179" s="349"/>
      <c r="H179" s="348"/>
      <c r="I179" s="347"/>
      <c r="J179" s="348"/>
      <c r="K179" s="349"/>
      <c r="L179" s="348"/>
      <c r="M179" s="347"/>
      <c r="N179" s="347"/>
      <c r="O179" s="313"/>
      <c r="P179" s="313"/>
      <c r="Q179" s="313"/>
      <c r="R179" s="313"/>
      <c r="S179" s="313"/>
      <c r="T179" s="348"/>
      <c r="U179" s="349"/>
      <c r="V179" s="348"/>
      <c r="W179" s="349"/>
      <c r="X179" s="313"/>
      <c r="Y179" s="313"/>
      <c r="Z179" s="667"/>
      <c r="AA179" s="373"/>
      <c r="AB179" s="667"/>
      <c r="AC179" s="373"/>
      <c r="AD179" s="315"/>
      <c r="AE179" s="315"/>
      <c r="AF179" s="348"/>
      <c r="AG179" s="349"/>
      <c r="AH179" s="348"/>
      <c r="AI179" s="349"/>
      <c r="AJ179" s="313"/>
      <c r="AK179" s="313"/>
      <c r="AL179" s="667"/>
      <c r="AM179" s="373"/>
      <c r="AN179" s="667"/>
      <c r="AO179" s="373"/>
      <c r="AP179" s="315"/>
      <c r="AQ179" s="315"/>
      <c r="AR179" s="348"/>
      <c r="AS179" s="349"/>
      <c r="AT179" s="348"/>
      <c r="AU179" s="349"/>
      <c r="AV179" s="313"/>
      <c r="AW179" s="313"/>
      <c r="AX179" s="667"/>
      <c r="AY179" s="373"/>
      <c r="AZ179" s="667"/>
      <c r="BA179" s="373"/>
      <c r="BB179" s="315"/>
      <c r="BC179" s="315"/>
      <c r="BD179" s="313"/>
      <c r="BE179" s="349"/>
      <c r="BF179" s="348"/>
      <c r="BG179" s="349"/>
      <c r="BH179" s="313"/>
      <c r="BI179" s="313"/>
      <c r="BJ179" s="315"/>
      <c r="BK179" s="373"/>
      <c r="BL179" s="667"/>
      <c r="BM179" s="373"/>
      <c r="BN179" s="315"/>
      <c r="BO179" s="315"/>
      <c r="BP179" s="313"/>
      <c r="BQ179" s="349"/>
      <c r="BR179" s="313"/>
      <c r="BS179" s="349"/>
      <c r="BT179" s="313"/>
      <c r="BU179" s="313"/>
      <c r="BV179" s="315"/>
      <c r="BW179" s="373"/>
      <c r="BX179" s="315"/>
      <c r="BY179" s="373"/>
      <c r="BZ179" s="315"/>
      <c r="CA179" s="315"/>
      <c r="CB179" s="353"/>
      <c r="CC179" s="313"/>
      <c r="CD179" s="522"/>
      <c r="CE179" s="526"/>
      <c r="CF179" s="527"/>
      <c r="CG179" s="526"/>
      <c r="CH179" s="527"/>
      <c r="CI179" s="526"/>
      <c r="CJ179" s="527"/>
      <c r="CK179" s="526"/>
      <c r="CL179" s="527"/>
      <c r="CM179" s="526"/>
      <c r="CN179" s="527"/>
      <c r="CO179" s="526"/>
      <c r="CP179" s="527"/>
      <c r="CQ179" s="526"/>
      <c r="CR179" s="527"/>
      <c r="CS179" s="522"/>
      <c r="CT179" s="313"/>
      <c r="CU179" s="313"/>
      <c r="CV179" s="313"/>
      <c r="CW179" s="313"/>
      <c r="CX179" s="313"/>
      <c r="CY179" s="313"/>
      <c r="CZ179" s="313"/>
      <c r="DA179" s="313"/>
      <c r="DB179" s="313"/>
      <c r="DC179" s="313"/>
    </row>
    <row r="180" spans="1:107" s="2" customFormat="1">
      <c r="A180" s="347"/>
      <c r="B180" s="347"/>
      <c r="C180" s="268"/>
      <c r="D180" s="346"/>
      <c r="E180" s="347"/>
      <c r="F180" s="349"/>
      <c r="G180" s="349"/>
      <c r="H180" s="348"/>
      <c r="I180" s="347"/>
      <c r="J180" s="348"/>
      <c r="K180" s="349"/>
      <c r="L180" s="348"/>
      <c r="M180" s="347"/>
      <c r="N180" s="347"/>
      <c r="O180" s="313"/>
      <c r="P180" s="313"/>
      <c r="Q180" s="313"/>
      <c r="R180" s="313"/>
      <c r="S180" s="313"/>
      <c r="T180" s="348"/>
      <c r="U180" s="349"/>
      <c r="V180" s="348"/>
      <c r="W180" s="349"/>
      <c r="X180" s="313"/>
      <c r="Y180" s="313"/>
      <c r="Z180" s="667"/>
      <c r="AA180" s="373"/>
      <c r="AB180" s="667"/>
      <c r="AC180" s="373"/>
      <c r="AD180" s="315"/>
      <c r="AE180" s="315"/>
      <c r="AF180" s="348"/>
      <c r="AG180" s="349"/>
      <c r="AH180" s="348"/>
      <c r="AI180" s="349"/>
      <c r="AJ180" s="313"/>
      <c r="AK180" s="313"/>
      <c r="AL180" s="667"/>
      <c r="AM180" s="373"/>
      <c r="AN180" s="667"/>
      <c r="AO180" s="373"/>
      <c r="AP180" s="315"/>
      <c r="AQ180" s="315"/>
      <c r="AR180" s="348"/>
      <c r="AS180" s="349"/>
      <c r="AT180" s="348"/>
      <c r="AU180" s="349"/>
      <c r="AV180" s="313"/>
      <c r="AW180" s="313"/>
      <c r="AX180" s="667"/>
      <c r="AY180" s="373"/>
      <c r="AZ180" s="667"/>
      <c r="BA180" s="373"/>
      <c r="BB180" s="315"/>
      <c r="BC180" s="315"/>
      <c r="BD180" s="313"/>
      <c r="BE180" s="349"/>
      <c r="BF180" s="348"/>
      <c r="BG180" s="349"/>
      <c r="BH180" s="313"/>
      <c r="BI180" s="313"/>
      <c r="BJ180" s="315"/>
      <c r="BK180" s="373"/>
      <c r="BL180" s="667"/>
      <c r="BM180" s="373"/>
      <c r="BN180" s="315"/>
      <c r="BO180" s="315"/>
      <c r="BP180" s="313"/>
      <c r="BQ180" s="349"/>
      <c r="BR180" s="313"/>
      <c r="BS180" s="349"/>
      <c r="BT180" s="313"/>
      <c r="BU180" s="313"/>
      <c r="BV180" s="315"/>
      <c r="BW180" s="373"/>
      <c r="BX180" s="315"/>
      <c r="BY180" s="373"/>
      <c r="BZ180" s="315"/>
      <c r="CA180" s="315"/>
      <c r="CB180" s="353"/>
      <c r="CC180" s="313"/>
      <c r="CD180" s="522"/>
      <c r="CE180" s="526"/>
      <c r="CF180" s="527"/>
      <c r="CG180" s="526"/>
      <c r="CH180" s="527"/>
      <c r="CI180" s="526"/>
      <c r="CJ180" s="527"/>
      <c r="CK180" s="526"/>
      <c r="CL180" s="527"/>
      <c r="CM180" s="526"/>
      <c r="CN180" s="527"/>
      <c r="CO180" s="526"/>
      <c r="CP180" s="527"/>
      <c r="CQ180" s="526"/>
      <c r="CR180" s="527"/>
      <c r="CS180" s="522"/>
      <c r="CT180" s="313"/>
      <c r="CU180" s="313"/>
      <c r="CV180" s="313"/>
      <c r="CW180" s="313"/>
      <c r="CX180" s="313"/>
      <c r="CY180" s="313"/>
      <c r="CZ180" s="313"/>
      <c r="DA180" s="313"/>
      <c r="DB180" s="313"/>
      <c r="DC180" s="313"/>
    </row>
    <row r="181" spans="1:107" s="2" customFormat="1">
      <c r="A181" s="347"/>
      <c r="B181" s="347"/>
      <c r="C181" s="268"/>
      <c r="D181" s="346"/>
      <c r="E181" s="347"/>
      <c r="F181" s="349"/>
      <c r="G181" s="349"/>
      <c r="H181" s="348"/>
      <c r="I181" s="347"/>
      <c r="J181" s="348"/>
      <c r="K181" s="349"/>
      <c r="L181" s="348"/>
      <c r="M181" s="347"/>
      <c r="N181" s="347"/>
      <c r="O181" s="313"/>
      <c r="P181" s="313"/>
      <c r="Q181" s="313"/>
      <c r="R181" s="313"/>
      <c r="S181" s="313"/>
      <c r="T181" s="348"/>
      <c r="U181" s="349"/>
      <c r="V181" s="348"/>
      <c r="W181" s="349"/>
      <c r="X181" s="313"/>
      <c r="Y181" s="313"/>
      <c r="Z181" s="667"/>
      <c r="AA181" s="373"/>
      <c r="AB181" s="667"/>
      <c r="AC181" s="373"/>
      <c r="AD181" s="315"/>
      <c r="AE181" s="315"/>
      <c r="AF181" s="348"/>
      <c r="AG181" s="349"/>
      <c r="AH181" s="348"/>
      <c r="AI181" s="349"/>
      <c r="AJ181" s="313"/>
      <c r="AK181" s="313"/>
      <c r="AL181" s="667"/>
      <c r="AM181" s="373"/>
      <c r="AN181" s="667"/>
      <c r="AO181" s="373"/>
      <c r="AP181" s="315"/>
      <c r="AQ181" s="315"/>
      <c r="AR181" s="348"/>
      <c r="AS181" s="349"/>
      <c r="AT181" s="348"/>
      <c r="AU181" s="349"/>
      <c r="AV181" s="313"/>
      <c r="AW181" s="313"/>
      <c r="AX181" s="667"/>
      <c r="AY181" s="373"/>
      <c r="AZ181" s="667"/>
      <c r="BA181" s="373"/>
      <c r="BB181" s="315"/>
      <c r="BC181" s="315"/>
      <c r="BD181" s="313"/>
      <c r="BE181" s="349"/>
      <c r="BF181" s="348"/>
      <c r="BG181" s="349"/>
      <c r="BH181" s="313"/>
      <c r="BI181" s="313"/>
      <c r="BJ181" s="315"/>
      <c r="BK181" s="373"/>
      <c r="BL181" s="667"/>
      <c r="BM181" s="373"/>
      <c r="BN181" s="315"/>
      <c r="BO181" s="315"/>
      <c r="BP181" s="313"/>
      <c r="BQ181" s="349"/>
      <c r="BR181" s="313"/>
      <c r="BS181" s="349"/>
      <c r="BT181" s="313"/>
      <c r="BU181" s="313"/>
      <c r="BV181" s="315"/>
      <c r="BW181" s="373"/>
      <c r="BX181" s="315"/>
      <c r="BY181" s="373"/>
      <c r="BZ181" s="315"/>
      <c r="CA181" s="315"/>
      <c r="CB181" s="353"/>
      <c r="CC181" s="313"/>
      <c r="CD181" s="522"/>
      <c r="CE181" s="526"/>
      <c r="CF181" s="527"/>
      <c r="CG181" s="526"/>
      <c r="CH181" s="527"/>
      <c r="CI181" s="526"/>
      <c r="CJ181" s="527"/>
      <c r="CK181" s="526"/>
      <c r="CL181" s="527"/>
      <c r="CM181" s="526"/>
      <c r="CN181" s="527"/>
      <c r="CO181" s="526"/>
      <c r="CP181" s="527"/>
      <c r="CQ181" s="526"/>
      <c r="CR181" s="527"/>
      <c r="CS181" s="522"/>
      <c r="CT181" s="313"/>
      <c r="CU181" s="313"/>
      <c r="CV181" s="313"/>
      <c r="CW181" s="313"/>
      <c r="CX181" s="313"/>
      <c r="CY181" s="313"/>
      <c r="CZ181" s="313"/>
      <c r="DA181" s="313"/>
      <c r="DB181" s="313"/>
      <c r="DC181" s="313"/>
    </row>
    <row r="182" spans="1:107" s="2" customFormat="1">
      <c r="A182" s="347"/>
      <c r="B182" s="347"/>
      <c r="C182" s="268"/>
      <c r="D182" s="346"/>
      <c r="E182" s="347"/>
      <c r="F182" s="349"/>
      <c r="G182" s="349"/>
      <c r="H182" s="348"/>
      <c r="I182" s="347"/>
      <c r="J182" s="348"/>
      <c r="K182" s="349"/>
      <c r="L182" s="348"/>
      <c r="M182" s="347"/>
      <c r="N182" s="347"/>
      <c r="O182" s="313"/>
      <c r="P182" s="313"/>
      <c r="Q182" s="313"/>
      <c r="R182" s="313"/>
      <c r="S182" s="313"/>
      <c r="T182" s="348"/>
      <c r="U182" s="349"/>
      <c r="V182" s="348"/>
      <c r="W182" s="349"/>
      <c r="X182" s="313"/>
      <c r="Y182" s="313"/>
      <c r="Z182" s="667"/>
      <c r="AA182" s="373"/>
      <c r="AB182" s="667"/>
      <c r="AC182" s="373"/>
      <c r="AD182" s="315"/>
      <c r="AE182" s="315"/>
      <c r="AF182" s="348"/>
      <c r="AG182" s="349"/>
      <c r="AH182" s="348"/>
      <c r="AI182" s="349"/>
      <c r="AJ182" s="313"/>
      <c r="AK182" s="313"/>
      <c r="AL182" s="667"/>
      <c r="AM182" s="373"/>
      <c r="AN182" s="667"/>
      <c r="AO182" s="373"/>
      <c r="AP182" s="315"/>
      <c r="AQ182" s="315"/>
      <c r="AR182" s="348"/>
      <c r="AS182" s="349"/>
      <c r="AT182" s="348"/>
      <c r="AU182" s="349"/>
      <c r="AV182" s="313"/>
      <c r="AW182" s="313"/>
      <c r="AX182" s="667"/>
      <c r="AY182" s="373"/>
      <c r="AZ182" s="667"/>
      <c r="BA182" s="373"/>
      <c r="BB182" s="315"/>
      <c r="BC182" s="315"/>
      <c r="BD182" s="313"/>
      <c r="BE182" s="349"/>
      <c r="BF182" s="348"/>
      <c r="BG182" s="349"/>
      <c r="BH182" s="313"/>
      <c r="BI182" s="313"/>
      <c r="BJ182" s="315"/>
      <c r="BK182" s="373"/>
      <c r="BL182" s="667"/>
      <c r="BM182" s="373"/>
      <c r="BN182" s="315"/>
      <c r="BO182" s="315"/>
      <c r="BP182" s="313"/>
      <c r="BQ182" s="349"/>
      <c r="BR182" s="313"/>
      <c r="BS182" s="349"/>
      <c r="BT182" s="313"/>
      <c r="BU182" s="313"/>
      <c r="BV182" s="315"/>
      <c r="BW182" s="373"/>
      <c r="BX182" s="315"/>
      <c r="BY182" s="373"/>
      <c r="BZ182" s="315"/>
      <c r="CA182" s="315"/>
      <c r="CB182" s="353"/>
      <c r="CC182" s="313"/>
      <c r="CD182" s="522"/>
      <c r="CE182" s="526"/>
      <c r="CF182" s="527"/>
      <c r="CG182" s="526"/>
      <c r="CH182" s="527"/>
      <c r="CI182" s="526"/>
      <c r="CJ182" s="527"/>
      <c r="CK182" s="526"/>
      <c r="CL182" s="527"/>
      <c r="CM182" s="526"/>
      <c r="CN182" s="527"/>
      <c r="CO182" s="526"/>
      <c r="CP182" s="527"/>
      <c r="CQ182" s="526"/>
      <c r="CR182" s="527"/>
      <c r="CS182" s="522"/>
      <c r="CT182" s="313"/>
      <c r="CU182" s="313"/>
      <c r="CV182" s="313"/>
      <c r="CW182" s="313"/>
      <c r="CX182" s="313"/>
      <c r="CY182" s="313"/>
      <c r="CZ182" s="313"/>
      <c r="DA182" s="313"/>
      <c r="DB182" s="313"/>
      <c r="DC182" s="313"/>
    </row>
    <row r="183" spans="1:107" s="2" customFormat="1">
      <c r="A183" s="347"/>
      <c r="B183" s="347"/>
      <c r="C183" s="268"/>
      <c r="D183" s="346"/>
      <c r="E183" s="347"/>
      <c r="F183" s="349"/>
      <c r="G183" s="349"/>
      <c r="H183" s="348"/>
      <c r="I183" s="347"/>
      <c r="J183" s="348"/>
      <c r="K183" s="349"/>
      <c r="L183" s="348"/>
      <c r="M183" s="347"/>
      <c r="N183" s="347"/>
      <c r="O183" s="313"/>
      <c r="P183" s="313"/>
      <c r="Q183" s="313"/>
      <c r="R183" s="313"/>
      <c r="S183" s="313"/>
      <c r="T183" s="348"/>
      <c r="U183" s="349"/>
      <c r="V183" s="348"/>
      <c r="W183" s="349"/>
      <c r="X183" s="313"/>
      <c r="Y183" s="313"/>
      <c r="Z183" s="667"/>
      <c r="AA183" s="373"/>
      <c r="AB183" s="667"/>
      <c r="AC183" s="373"/>
      <c r="AD183" s="315"/>
      <c r="AE183" s="315"/>
      <c r="AF183" s="348"/>
      <c r="AG183" s="349"/>
      <c r="AH183" s="348"/>
      <c r="AI183" s="349"/>
      <c r="AJ183" s="313"/>
      <c r="AK183" s="313"/>
      <c r="AL183" s="667"/>
      <c r="AM183" s="373"/>
      <c r="AN183" s="667"/>
      <c r="AO183" s="373"/>
      <c r="AP183" s="315"/>
      <c r="AQ183" s="315"/>
      <c r="AR183" s="348"/>
      <c r="AS183" s="349"/>
      <c r="AT183" s="348"/>
      <c r="AU183" s="349"/>
      <c r="AV183" s="313"/>
      <c r="AW183" s="313"/>
      <c r="AX183" s="667"/>
      <c r="AY183" s="373"/>
      <c r="AZ183" s="667"/>
      <c r="BA183" s="373"/>
      <c r="BB183" s="315"/>
      <c r="BC183" s="315"/>
      <c r="BD183" s="313"/>
      <c r="BE183" s="349"/>
      <c r="BF183" s="348"/>
      <c r="BG183" s="349"/>
      <c r="BH183" s="313"/>
      <c r="BI183" s="313"/>
      <c r="BJ183" s="315"/>
      <c r="BK183" s="373"/>
      <c r="BL183" s="667"/>
      <c r="BM183" s="373"/>
      <c r="BN183" s="315"/>
      <c r="BO183" s="315"/>
      <c r="BP183" s="313"/>
      <c r="BQ183" s="349"/>
      <c r="BR183" s="313"/>
      <c r="BS183" s="349"/>
      <c r="BT183" s="313"/>
      <c r="BU183" s="313"/>
      <c r="BV183" s="315"/>
      <c r="BW183" s="373"/>
      <c r="BX183" s="315"/>
      <c r="BY183" s="373"/>
      <c r="BZ183" s="315"/>
      <c r="CA183" s="315"/>
      <c r="CB183" s="353"/>
      <c r="CC183" s="313"/>
      <c r="CD183" s="522"/>
      <c r="CE183" s="526"/>
      <c r="CF183" s="527"/>
      <c r="CG183" s="526"/>
      <c r="CH183" s="527"/>
      <c r="CI183" s="526"/>
      <c r="CJ183" s="527"/>
      <c r="CK183" s="526"/>
      <c r="CL183" s="527"/>
      <c r="CM183" s="526"/>
      <c r="CN183" s="527"/>
      <c r="CO183" s="526"/>
      <c r="CP183" s="527"/>
      <c r="CQ183" s="526"/>
      <c r="CR183" s="527"/>
      <c r="CS183" s="522"/>
      <c r="CT183" s="313"/>
      <c r="CU183" s="313"/>
      <c r="CV183" s="313"/>
      <c r="CW183" s="313"/>
      <c r="CX183" s="313"/>
      <c r="CY183" s="313"/>
      <c r="CZ183" s="313"/>
      <c r="DA183" s="313"/>
      <c r="DB183" s="313"/>
      <c r="DC183" s="313"/>
    </row>
    <row r="184" spans="1:107" s="2" customFormat="1">
      <c r="A184" s="347"/>
      <c r="B184" s="347"/>
      <c r="C184" s="268"/>
      <c r="D184" s="346"/>
      <c r="E184" s="347"/>
      <c r="F184" s="349"/>
      <c r="G184" s="349"/>
      <c r="H184" s="348"/>
      <c r="I184" s="347"/>
      <c r="J184" s="348"/>
      <c r="K184" s="349"/>
      <c r="L184" s="348"/>
      <c r="M184" s="347"/>
      <c r="N184" s="347"/>
      <c r="O184" s="313"/>
      <c r="P184" s="313"/>
      <c r="Q184" s="313"/>
      <c r="R184" s="313"/>
      <c r="S184" s="313"/>
      <c r="T184" s="348"/>
      <c r="U184" s="349"/>
      <c r="V184" s="348"/>
      <c r="W184" s="349"/>
      <c r="X184" s="313"/>
      <c r="Y184" s="313"/>
      <c r="Z184" s="667"/>
      <c r="AA184" s="373"/>
      <c r="AB184" s="667"/>
      <c r="AC184" s="373"/>
      <c r="AD184" s="315"/>
      <c r="AE184" s="315"/>
      <c r="AF184" s="348"/>
      <c r="AG184" s="349"/>
      <c r="AH184" s="348"/>
      <c r="AI184" s="349"/>
      <c r="AJ184" s="313"/>
      <c r="AK184" s="313"/>
      <c r="AL184" s="667"/>
      <c r="AM184" s="373"/>
      <c r="AN184" s="667"/>
      <c r="AO184" s="373"/>
      <c r="AP184" s="315"/>
      <c r="AQ184" s="315"/>
      <c r="AR184" s="348"/>
      <c r="AS184" s="349"/>
      <c r="AT184" s="348"/>
      <c r="AU184" s="349"/>
      <c r="AV184" s="313"/>
      <c r="AW184" s="313"/>
      <c r="AX184" s="667"/>
      <c r="AY184" s="373"/>
      <c r="AZ184" s="667"/>
      <c r="BA184" s="373"/>
      <c r="BB184" s="315"/>
      <c r="BC184" s="315"/>
      <c r="BD184" s="313"/>
      <c r="BE184" s="349"/>
      <c r="BF184" s="348"/>
      <c r="BG184" s="349"/>
      <c r="BH184" s="313"/>
      <c r="BI184" s="313"/>
      <c r="BJ184" s="315"/>
      <c r="BK184" s="373"/>
      <c r="BL184" s="667"/>
      <c r="BM184" s="373"/>
      <c r="BN184" s="315"/>
      <c r="BO184" s="315"/>
      <c r="BP184" s="313"/>
      <c r="BQ184" s="349"/>
      <c r="BR184" s="313"/>
      <c r="BS184" s="349"/>
      <c r="BT184" s="313"/>
      <c r="BU184" s="313"/>
      <c r="BV184" s="315"/>
      <c r="BW184" s="373"/>
      <c r="BX184" s="315"/>
      <c r="BY184" s="373"/>
      <c r="BZ184" s="315"/>
      <c r="CA184" s="315"/>
      <c r="CB184" s="353"/>
      <c r="CC184" s="313"/>
      <c r="CD184" s="522"/>
      <c r="CE184" s="526"/>
      <c r="CF184" s="527"/>
      <c r="CG184" s="526"/>
      <c r="CH184" s="527"/>
      <c r="CI184" s="526"/>
      <c r="CJ184" s="527"/>
      <c r="CK184" s="526"/>
      <c r="CL184" s="527"/>
      <c r="CM184" s="526"/>
      <c r="CN184" s="527"/>
      <c r="CO184" s="526"/>
      <c r="CP184" s="527"/>
      <c r="CQ184" s="526"/>
      <c r="CR184" s="527"/>
      <c r="CS184" s="522"/>
      <c r="CT184" s="313"/>
      <c r="CU184" s="313"/>
      <c r="CV184" s="313"/>
      <c r="CW184" s="313"/>
      <c r="CX184" s="313"/>
      <c r="CY184" s="313"/>
      <c r="CZ184" s="313"/>
      <c r="DA184" s="313"/>
      <c r="DB184" s="313"/>
      <c r="DC184" s="313"/>
    </row>
    <row r="185" spans="1:107" s="2" customFormat="1">
      <c r="A185" s="347"/>
      <c r="B185" s="347"/>
      <c r="C185" s="268"/>
      <c r="D185" s="346"/>
      <c r="E185" s="347"/>
      <c r="F185" s="349"/>
      <c r="G185" s="349"/>
      <c r="H185" s="348"/>
      <c r="I185" s="347"/>
      <c r="J185" s="348"/>
      <c r="K185" s="349"/>
      <c r="L185" s="348"/>
      <c r="M185" s="347"/>
      <c r="N185" s="347"/>
      <c r="O185" s="313"/>
      <c r="P185" s="313"/>
      <c r="Q185" s="313"/>
      <c r="R185" s="313"/>
      <c r="S185" s="313"/>
      <c r="T185" s="348"/>
      <c r="U185" s="349"/>
      <c r="V185" s="348"/>
      <c r="W185" s="349"/>
      <c r="X185" s="313"/>
      <c r="Y185" s="313"/>
      <c r="Z185" s="667"/>
      <c r="AA185" s="373"/>
      <c r="AB185" s="667"/>
      <c r="AC185" s="373"/>
      <c r="AD185" s="315"/>
      <c r="AE185" s="315"/>
      <c r="AF185" s="348"/>
      <c r="AG185" s="349"/>
      <c r="AH185" s="348"/>
      <c r="AI185" s="349"/>
      <c r="AJ185" s="313"/>
      <c r="AK185" s="313"/>
      <c r="AL185" s="667"/>
      <c r="AM185" s="373"/>
      <c r="AN185" s="667"/>
      <c r="AO185" s="373"/>
      <c r="AP185" s="315"/>
      <c r="AQ185" s="315"/>
      <c r="AR185" s="348"/>
      <c r="AS185" s="349"/>
      <c r="AT185" s="348"/>
      <c r="AU185" s="349"/>
      <c r="AV185" s="313"/>
      <c r="AW185" s="313"/>
      <c r="AX185" s="667"/>
      <c r="AY185" s="373"/>
      <c r="AZ185" s="667"/>
      <c r="BA185" s="373"/>
      <c r="BB185" s="315"/>
      <c r="BC185" s="315"/>
      <c r="BD185" s="313"/>
      <c r="BE185" s="349"/>
      <c r="BF185" s="348"/>
      <c r="BG185" s="349"/>
      <c r="BH185" s="313"/>
      <c r="BI185" s="313"/>
      <c r="BJ185" s="315"/>
      <c r="BK185" s="373"/>
      <c r="BL185" s="667"/>
      <c r="BM185" s="373"/>
      <c r="BN185" s="315"/>
      <c r="BO185" s="315"/>
      <c r="BP185" s="313"/>
      <c r="BQ185" s="349"/>
      <c r="BR185" s="313"/>
      <c r="BS185" s="349"/>
      <c r="BT185" s="313"/>
      <c r="BU185" s="313"/>
      <c r="BV185" s="315"/>
      <c r="BW185" s="373"/>
      <c r="BX185" s="315"/>
      <c r="BY185" s="373"/>
      <c r="BZ185" s="315"/>
      <c r="CA185" s="315"/>
      <c r="CB185" s="353"/>
      <c r="CC185" s="313"/>
      <c r="CD185" s="522"/>
      <c r="CE185" s="526"/>
      <c r="CF185" s="527"/>
      <c r="CG185" s="526"/>
      <c r="CH185" s="527"/>
      <c r="CI185" s="526"/>
      <c r="CJ185" s="527"/>
      <c r="CK185" s="526"/>
      <c r="CL185" s="527"/>
      <c r="CM185" s="526"/>
      <c r="CN185" s="527"/>
      <c r="CO185" s="526"/>
      <c r="CP185" s="527"/>
      <c r="CQ185" s="526"/>
      <c r="CR185" s="527"/>
      <c r="CS185" s="522"/>
      <c r="CT185" s="313"/>
      <c r="CU185" s="313"/>
      <c r="CV185" s="313"/>
      <c r="CW185" s="313"/>
      <c r="CX185" s="313"/>
      <c r="CY185" s="313"/>
      <c r="CZ185" s="313"/>
      <c r="DA185" s="313"/>
      <c r="DB185" s="313"/>
      <c r="DC185" s="313"/>
    </row>
    <row r="186" spans="1:107" s="2" customFormat="1">
      <c r="A186" s="347"/>
      <c r="B186" s="347"/>
      <c r="C186" s="268"/>
      <c r="D186" s="346"/>
      <c r="E186" s="347"/>
      <c r="F186" s="349"/>
      <c r="G186" s="349"/>
      <c r="H186" s="348"/>
      <c r="I186" s="347"/>
      <c r="J186" s="348"/>
      <c r="K186" s="349"/>
      <c r="L186" s="348"/>
      <c r="M186" s="347"/>
      <c r="N186" s="347"/>
      <c r="O186" s="313"/>
      <c r="P186" s="313"/>
      <c r="Q186" s="313"/>
      <c r="R186" s="313"/>
      <c r="S186" s="313"/>
      <c r="T186" s="348"/>
      <c r="U186" s="349"/>
      <c r="V186" s="348"/>
      <c r="W186" s="349"/>
      <c r="X186" s="313"/>
      <c r="Y186" s="313"/>
      <c r="Z186" s="667"/>
      <c r="AA186" s="373"/>
      <c r="AB186" s="667"/>
      <c r="AC186" s="373"/>
      <c r="AD186" s="315"/>
      <c r="AE186" s="315"/>
      <c r="AF186" s="348"/>
      <c r="AG186" s="349"/>
      <c r="AH186" s="348"/>
      <c r="AI186" s="349"/>
      <c r="AJ186" s="313"/>
      <c r="AK186" s="313"/>
      <c r="AL186" s="667"/>
      <c r="AM186" s="373"/>
      <c r="AN186" s="667"/>
      <c r="AO186" s="373"/>
      <c r="AP186" s="315"/>
      <c r="AQ186" s="315"/>
      <c r="AR186" s="348"/>
      <c r="AS186" s="349"/>
      <c r="AT186" s="348"/>
      <c r="AU186" s="349"/>
      <c r="AV186" s="313"/>
      <c r="AW186" s="313"/>
      <c r="AX186" s="667"/>
      <c r="AY186" s="373"/>
      <c r="AZ186" s="667"/>
      <c r="BA186" s="373"/>
      <c r="BB186" s="315"/>
      <c r="BC186" s="315"/>
      <c r="BD186" s="313"/>
      <c r="BE186" s="349"/>
      <c r="BF186" s="348"/>
      <c r="BG186" s="349"/>
      <c r="BH186" s="313"/>
      <c r="BI186" s="313"/>
      <c r="BJ186" s="315"/>
      <c r="BK186" s="373"/>
      <c r="BL186" s="667"/>
      <c r="BM186" s="373"/>
      <c r="BN186" s="315"/>
      <c r="BO186" s="315"/>
      <c r="BP186" s="313"/>
      <c r="BQ186" s="349"/>
      <c r="BR186" s="313"/>
      <c r="BS186" s="349"/>
      <c r="BT186" s="313"/>
      <c r="BU186" s="313"/>
      <c r="BV186" s="315"/>
      <c r="BW186" s="373"/>
      <c r="BX186" s="315"/>
      <c r="BY186" s="373"/>
      <c r="BZ186" s="315"/>
      <c r="CA186" s="315"/>
      <c r="CB186" s="353"/>
      <c r="CC186" s="313"/>
      <c r="CD186" s="522"/>
      <c r="CE186" s="526"/>
      <c r="CF186" s="527"/>
      <c r="CG186" s="526"/>
      <c r="CH186" s="527"/>
      <c r="CI186" s="526"/>
      <c r="CJ186" s="527"/>
      <c r="CK186" s="526"/>
      <c r="CL186" s="527"/>
      <c r="CM186" s="526"/>
      <c r="CN186" s="527"/>
      <c r="CO186" s="526"/>
      <c r="CP186" s="527"/>
      <c r="CQ186" s="526"/>
      <c r="CR186" s="527"/>
      <c r="CS186" s="522"/>
      <c r="CT186" s="313"/>
      <c r="CU186" s="313"/>
      <c r="CV186" s="313"/>
      <c r="CW186" s="313"/>
      <c r="CX186" s="313"/>
      <c r="CY186" s="313"/>
      <c r="CZ186" s="313"/>
      <c r="DA186" s="313"/>
      <c r="DB186" s="313"/>
      <c r="DC186" s="313"/>
    </row>
    <row r="187" spans="1:107" s="2" customFormat="1">
      <c r="A187" s="347"/>
      <c r="B187" s="347"/>
      <c r="C187" s="268"/>
      <c r="D187" s="346"/>
      <c r="E187" s="347"/>
      <c r="F187" s="349"/>
      <c r="G187" s="349"/>
      <c r="H187" s="348"/>
      <c r="I187" s="347"/>
      <c r="J187" s="348"/>
      <c r="K187" s="349"/>
      <c r="L187" s="348"/>
      <c r="M187" s="347"/>
      <c r="N187" s="347"/>
      <c r="O187" s="313"/>
      <c r="P187" s="313"/>
      <c r="Q187" s="313"/>
      <c r="R187" s="313"/>
      <c r="S187" s="313"/>
      <c r="T187" s="348"/>
      <c r="U187" s="349"/>
      <c r="V187" s="348"/>
      <c r="W187" s="349"/>
      <c r="X187" s="313"/>
      <c r="Y187" s="313"/>
      <c r="Z187" s="667"/>
      <c r="AA187" s="373"/>
      <c r="AB187" s="667"/>
      <c r="AC187" s="373"/>
      <c r="AD187" s="315"/>
      <c r="AE187" s="315"/>
      <c r="AF187" s="348"/>
      <c r="AG187" s="349"/>
      <c r="AH187" s="348"/>
      <c r="AI187" s="349"/>
      <c r="AJ187" s="313"/>
      <c r="AK187" s="313"/>
      <c r="AL187" s="667"/>
      <c r="AM187" s="373"/>
      <c r="AN187" s="667"/>
      <c r="AO187" s="373"/>
      <c r="AP187" s="315"/>
      <c r="AQ187" s="315"/>
      <c r="AR187" s="348"/>
      <c r="AS187" s="349"/>
      <c r="AT187" s="348"/>
      <c r="AU187" s="349"/>
      <c r="AV187" s="313"/>
      <c r="AW187" s="313"/>
      <c r="AX187" s="667"/>
      <c r="AY187" s="373"/>
      <c r="AZ187" s="667"/>
      <c r="BA187" s="373"/>
      <c r="BB187" s="315"/>
      <c r="BC187" s="315"/>
      <c r="BD187" s="313"/>
      <c r="BE187" s="349"/>
      <c r="BF187" s="348"/>
      <c r="BG187" s="349"/>
      <c r="BH187" s="313"/>
      <c r="BI187" s="313"/>
      <c r="BJ187" s="315"/>
      <c r="BK187" s="373"/>
      <c r="BL187" s="667"/>
      <c r="BM187" s="373"/>
      <c r="BN187" s="315"/>
      <c r="BO187" s="315"/>
      <c r="BP187" s="313"/>
      <c r="BQ187" s="349"/>
      <c r="BR187" s="313"/>
      <c r="BS187" s="349"/>
      <c r="BT187" s="313"/>
      <c r="BU187" s="313"/>
      <c r="BV187" s="315"/>
      <c r="BW187" s="373"/>
      <c r="BX187" s="315"/>
      <c r="BY187" s="373"/>
      <c r="BZ187" s="315"/>
      <c r="CA187" s="315"/>
      <c r="CB187" s="353"/>
      <c r="CC187" s="313"/>
      <c r="CD187" s="522"/>
      <c r="CE187" s="526"/>
      <c r="CF187" s="527"/>
      <c r="CG187" s="526"/>
      <c r="CH187" s="527"/>
      <c r="CI187" s="526"/>
      <c r="CJ187" s="527"/>
      <c r="CK187" s="526"/>
      <c r="CL187" s="527"/>
      <c r="CM187" s="526"/>
      <c r="CN187" s="527"/>
      <c r="CO187" s="526"/>
      <c r="CP187" s="527"/>
      <c r="CQ187" s="526"/>
      <c r="CR187" s="527"/>
      <c r="CS187" s="522"/>
      <c r="CT187" s="313"/>
      <c r="CU187" s="313"/>
      <c r="CV187" s="313"/>
      <c r="CW187" s="313"/>
      <c r="CX187" s="313"/>
      <c r="CY187" s="313"/>
      <c r="CZ187" s="313"/>
      <c r="DA187" s="313"/>
      <c r="DB187" s="313"/>
      <c r="DC187" s="313"/>
    </row>
    <row r="188" spans="1:107" s="2" customFormat="1">
      <c r="A188" s="347"/>
      <c r="B188" s="347"/>
      <c r="C188" s="268"/>
      <c r="D188" s="346"/>
      <c r="E188" s="347"/>
      <c r="F188" s="349"/>
      <c r="G188" s="349"/>
      <c r="H188" s="348"/>
      <c r="I188" s="347"/>
      <c r="J188" s="348"/>
      <c r="K188" s="349"/>
      <c r="L188" s="348"/>
      <c r="M188" s="347"/>
      <c r="N188" s="347"/>
      <c r="O188" s="313"/>
      <c r="P188" s="313"/>
      <c r="Q188" s="313"/>
      <c r="R188" s="313"/>
      <c r="S188" s="313"/>
      <c r="T188" s="348"/>
      <c r="U188" s="349"/>
      <c r="V188" s="348"/>
      <c r="W188" s="349"/>
      <c r="X188" s="313"/>
      <c r="Y188" s="313"/>
      <c r="Z188" s="667"/>
      <c r="AA188" s="373"/>
      <c r="AB188" s="667"/>
      <c r="AC188" s="373"/>
      <c r="AD188" s="315"/>
      <c r="AE188" s="315"/>
      <c r="AF188" s="348"/>
      <c r="AG188" s="349"/>
      <c r="AH188" s="348"/>
      <c r="AI188" s="349"/>
      <c r="AJ188" s="313"/>
      <c r="AK188" s="313"/>
      <c r="AL188" s="667"/>
      <c r="AM188" s="373"/>
      <c r="AN188" s="667"/>
      <c r="AO188" s="373"/>
      <c r="AP188" s="315"/>
      <c r="AQ188" s="315"/>
      <c r="AR188" s="348"/>
      <c r="AS188" s="349"/>
      <c r="AT188" s="348"/>
      <c r="AU188" s="349"/>
      <c r="AV188" s="313"/>
      <c r="AW188" s="313"/>
      <c r="AX188" s="667"/>
      <c r="AY188" s="373"/>
      <c r="AZ188" s="667"/>
      <c r="BA188" s="373"/>
      <c r="BB188" s="315"/>
      <c r="BC188" s="315"/>
      <c r="BD188" s="313"/>
      <c r="BE188" s="349"/>
      <c r="BF188" s="348"/>
      <c r="BG188" s="349"/>
      <c r="BH188" s="313"/>
      <c r="BI188" s="313"/>
      <c r="BJ188" s="315"/>
      <c r="BK188" s="373"/>
      <c r="BL188" s="667"/>
      <c r="BM188" s="373"/>
      <c r="BN188" s="315"/>
      <c r="BO188" s="315"/>
      <c r="BP188" s="313"/>
      <c r="BQ188" s="349"/>
      <c r="BR188" s="313"/>
      <c r="BS188" s="349"/>
      <c r="BT188" s="313"/>
      <c r="BU188" s="313"/>
      <c r="BV188" s="315"/>
      <c r="BW188" s="373"/>
      <c r="BX188" s="315"/>
      <c r="BY188" s="373"/>
      <c r="BZ188" s="315"/>
      <c r="CA188" s="315"/>
      <c r="CB188" s="353"/>
      <c r="CC188" s="313"/>
      <c r="CD188" s="522"/>
      <c r="CE188" s="526"/>
      <c r="CF188" s="527"/>
      <c r="CG188" s="526"/>
      <c r="CH188" s="527"/>
      <c r="CI188" s="526"/>
      <c r="CJ188" s="527"/>
      <c r="CK188" s="526"/>
      <c r="CL188" s="527"/>
      <c r="CM188" s="526"/>
      <c r="CN188" s="527"/>
      <c r="CO188" s="526"/>
      <c r="CP188" s="527"/>
      <c r="CQ188" s="526"/>
      <c r="CR188" s="527"/>
      <c r="CS188" s="522"/>
      <c r="CT188" s="313"/>
      <c r="CU188" s="313"/>
      <c r="CV188" s="313"/>
      <c r="CW188" s="313"/>
      <c r="CX188" s="313"/>
      <c r="CY188" s="313"/>
      <c r="CZ188" s="313"/>
      <c r="DA188" s="313"/>
      <c r="DB188" s="313"/>
      <c r="DC188" s="313"/>
    </row>
    <row r="189" spans="1:107" s="2" customFormat="1">
      <c r="A189" s="347"/>
      <c r="B189" s="347"/>
      <c r="C189" s="268"/>
      <c r="D189" s="346"/>
      <c r="E189" s="347"/>
      <c r="F189" s="349"/>
      <c r="G189" s="349"/>
      <c r="H189" s="348"/>
      <c r="I189" s="347"/>
      <c r="J189" s="348"/>
      <c r="K189" s="349"/>
      <c r="L189" s="348"/>
      <c r="M189" s="347"/>
      <c r="N189" s="347"/>
      <c r="O189" s="313"/>
      <c r="P189" s="313"/>
      <c r="Q189" s="313"/>
      <c r="R189" s="313"/>
      <c r="S189" s="313"/>
      <c r="T189" s="348"/>
      <c r="U189" s="349"/>
      <c r="V189" s="348"/>
      <c r="W189" s="349"/>
      <c r="X189" s="313"/>
      <c r="Y189" s="313"/>
      <c r="Z189" s="667"/>
      <c r="AA189" s="373"/>
      <c r="AB189" s="667"/>
      <c r="AC189" s="373"/>
      <c r="AD189" s="315"/>
      <c r="AE189" s="315"/>
      <c r="AF189" s="348"/>
      <c r="AG189" s="349"/>
      <c r="AH189" s="348"/>
      <c r="AI189" s="349"/>
      <c r="AJ189" s="313"/>
      <c r="AK189" s="313"/>
      <c r="AL189" s="667"/>
      <c r="AM189" s="373"/>
      <c r="AN189" s="667"/>
      <c r="AO189" s="373"/>
      <c r="AP189" s="315"/>
      <c r="AQ189" s="315"/>
      <c r="AR189" s="348"/>
      <c r="AS189" s="349"/>
      <c r="AT189" s="348"/>
      <c r="AU189" s="349"/>
      <c r="AV189" s="313"/>
      <c r="AW189" s="313"/>
      <c r="AX189" s="667"/>
      <c r="AY189" s="373"/>
      <c r="AZ189" s="667"/>
      <c r="BA189" s="373"/>
      <c r="BB189" s="315"/>
      <c r="BC189" s="315"/>
      <c r="BD189" s="313"/>
      <c r="BE189" s="349"/>
      <c r="BF189" s="348"/>
      <c r="BG189" s="349"/>
      <c r="BH189" s="313"/>
      <c r="BI189" s="313"/>
      <c r="BJ189" s="315"/>
      <c r="BK189" s="373"/>
      <c r="BL189" s="667"/>
      <c r="BM189" s="373"/>
      <c r="BN189" s="315"/>
      <c r="BO189" s="315"/>
      <c r="BP189" s="313"/>
      <c r="BQ189" s="349"/>
      <c r="BR189" s="313"/>
      <c r="BS189" s="349"/>
      <c r="BT189" s="313"/>
      <c r="BU189" s="313"/>
      <c r="BV189" s="315"/>
      <c r="BW189" s="373"/>
      <c r="BX189" s="315"/>
      <c r="BY189" s="373"/>
      <c r="BZ189" s="315"/>
      <c r="CA189" s="315"/>
      <c r="CB189" s="353"/>
      <c r="CC189" s="313"/>
      <c r="CD189" s="522"/>
      <c r="CE189" s="526"/>
      <c r="CF189" s="527"/>
      <c r="CG189" s="526"/>
      <c r="CH189" s="527"/>
      <c r="CI189" s="526"/>
      <c r="CJ189" s="527"/>
      <c r="CK189" s="526"/>
      <c r="CL189" s="527"/>
      <c r="CM189" s="526"/>
      <c r="CN189" s="527"/>
      <c r="CO189" s="526"/>
      <c r="CP189" s="527"/>
      <c r="CQ189" s="526"/>
      <c r="CR189" s="527"/>
      <c r="CS189" s="522"/>
      <c r="CT189" s="313"/>
      <c r="CU189" s="313"/>
      <c r="CV189" s="313"/>
      <c r="CW189" s="313"/>
      <c r="CX189" s="313"/>
      <c r="CY189" s="313"/>
      <c r="CZ189" s="313"/>
      <c r="DA189" s="313"/>
      <c r="DB189" s="313"/>
      <c r="DC189" s="313"/>
    </row>
    <row r="190" spans="1:107" s="2" customFormat="1">
      <c r="A190" s="347"/>
      <c r="B190" s="347"/>
      <c r="C190" s="268"/>
      <c r="D190" s="346"/>
      <c r="E190" s="347"/>
      <c r="F190" s="349"/>
      <c r="G190" s="349"/>
      <c r="H190" s="348"/>
      <c r="I190" s="347"/>
      <c r="J190" s="348"/>
      <c r="K190" s="349"/>
      <c r="L190" s="348"/>
      <c r="M190" s="347"/>
      <c r="N190" s="347"/>
      <c r="O190" s="313"/>
      <c r="P190" s="313"/>
      <c r="Q190" s="313"/>
      <c r="R190" s="313"/>
      <c r="S190" s="313"/>
      <c r="T190" s="348"/>
      <c r="U190" s="349"/>
      <c r="V190" s="348"/>
      <c r="W190" s="349"/>
      <c r="X190" s="313"/>
      <c r="Y190" s="313"/>
      <c r="Z190" s="667"/>
      <c r="AA190" s="373"/>
      <c r="AB190" s="667"/>
      <c r="AC190" s="373"/>
      <c r="AD190" s="315"/>
      <c r="AE190" s="315"/>
      <c r="AF190" s="348"/>
      <c r="AG190" s="349"/>
      <c r="AH190" s="348"/>
      <c r="AI190" s="349"/>
      <c r="AJ190" s="313"/>
      <c r="AK190" s="313"/>
      <c r="AL190" s="667"/>
      <c r="AM190" s="373"/>
      <c r="AN190" s="667"/>
      <c r="AO190" s="373"/>
      <c r="AP190" s="315"/>
      <c r="AQ190" s="315"/>
      <c r="AR190" s="348"/>
      <c r="AS190" s="349"/>
      <c r="AT190" s="348"/>
      <c r="AU190" s="349"/>
      <c r="AV190" s="313"/>
      <c r="AW190" s="313"/>
      <c r="AX190" s="667"/>
      <c r="AY190" s="373"/>
      <c r="AZ190" s="667"/>
      <c r="BA190" s="373"/>
      <c r="BB190" s="315"/>
      <c r="BC190" s="315"/>
      <c r="BD190" s="313"/>
      <c r="BE190" s="349"/>
      <c r="BF190" s="348"/>
      <c r="BG190" s="349"/>
      <c r="BH190" s="313"/>
      <c r="BI190" s="313"/>
      <c r="BJ190" s="315"/>
      <c r="BK190" s="373"/>
      <c r="BL190" s="667"/>
      <c r="BM190" s="373"/>
      <c r="BN190" s="315"/>
      <c r="BO190" s="315"/>
      <c r="BP190" s="313"/>
      <c r="BQ190" s="349"/>
      <c r="BR190" s="313"/>
      <c r="BS190" s="349"/>
      <c r="BT190" s="313"/>
      <c r="BU190" s="313"/>
      <c r="BV190" s="315"/>
      <c r="BW190" s="373"/>
      <c r="BX190" s="315"/>
      <c r="BY190" s="373"/>
      <c r="BZ190" s="315"/>
      <c r="CA190" s="315"/>
      <c r="CB190" s="353"/>
      <c r="CC190" s="313"/>
      <c r="CD190" s="522"/>
      <c r="CE190" s="526"/>
      <c r="CF190" s="527"/>
      <c r="CG190" s="526"/>
      <c r="CH190" s="527"/>
      <c r="CI190" s="526"/>
      <c r="CJ190" s="527"/>
      <c r="CK190" s="526"/>
      <c r="CL190" s="527"/>
      <c r="CM190" s="526"/>
      <c r="CN190" s="527"/>
      <c r="CO190" s="526"/>
      <c r="CP190" s="527"/>
      <c r="CQ190" s="526"/>
      <c r="CR190" s="527"/>
      <c r="CS190" s="522"/>
      <c r="CT190" s="313"/>
      <c r="CU190" s="313"/>
      <c r="CV190" s="313"/>
      <c r="CW190" s="313"/>
      <c r="CX190" s="313"/>
      <c r="CY190" s="313"/>
      <c r="CZ190" s="313"/>
      <c r="DA190" s="313"/>
      <c r="DB190" s="313"/>
      <c r="DC190" s="313"/>
    </row>
    <row r="191" spans="1:107" s="2" customFormat="1">
      <c r="A191" s="347"/>
      <c r="B191" s="347"/>
      <c r="C191" s="268"/>
      <c r="D191" s="346"/>
      <c r="E191" s="347"/>
      <c r="F191" s="349"/>
      <c r="G191" s="349"/>
      <c r="H191" s="348"/>
      <c r="I191" s="347"/>
      <c r="J191" s="348"/>
      <c r="K191" s="349"/>
      <c r="L191" s="348"/>
      <c r="M191" s="347"/>
      <c r="N191" s="347"/>
      <c r="O191" s="313"/>
      <c r="P191" s="313"/>
      <c r="Q191" s="313"/>
      <c r="R191" s="313"/>
      <c r="S191" s="313"/>
      <c r="T191" s="348"/>
      <c r="U191" s="349"/>
      <c r="V191" s="348"/>
      <c r="W191" s="349"/>
      <c r="X191" s="313"/>
      <c r="Y191" s="313"/>
      <c r="Z191" s="667"/>
      <c r="AA191" s="373"/>
      <c r="AB191" s="667"/>
      <c r="AC191" s="373"/>
      <c r="AD191" s="315"/>
      <c r="AE191" s="315"/>
      <c r="AF191" s="348"/>
      <c r="AG191" s="349"/>
      <c r="AH191" s="348"/>
      <c r="AI191" s="349"/>
      <c r="AJ191" s="313"/>
      <c r="AK191" s="313"/>
      <c r="AL191" s="667"/>
      <c r="AM191" s="373"/>
      <c r="AN191" s="667"/>
      <c r="AO191" s="373"/>
      <c r="AP191" s="315"/>
      <c r="AQ191" s="315"/>
      <c r="AR191" s="348"/>
      <c r="AS191" s="349"/>
      <c r="AT191" s="348"/>
      <c r="AU191" s="349"/>
      <c r="AV191" s="313"/>
      <c r="AW191" s="313"/>
      <c r="AX191" s="667"/>
      <c r="AY191" s="373"/>
      <c r="AZ191" s="667"/>
      <c r="BA191" s="373"/>
      <c r="BB191" s="315"/>
      <c r="BC191" s="315"/>
      <c r="BD191" s="313"/>
      <c r="BE191" s="349"/>
      <c r="BF191" s="348"/>
      <c r="BG191" s="349"/>
      <c r="BH191" s="313"/>
      <c r="BI191" s="313"/>
      <c r="BJ191" s="315"/>
      <c r="BK191" s="373"/>
      <c r="BL191" s="667"/>
      <c r="BM191" s="373"/>
      <c r="BN191" s="315"/>
      <c r="BO191" s="315"/>
      <c r="BP191" s="313"/>
      <c r="BQ191" s="349"/>
      <c r="BR191" s="313"/>
      <c r="BS191" s="349"/>
      <c r="BT191" s="313"/>
      <c r="BU191" s="313"/>
      <c r="BV191" s="315"/>
      <c r="BW191" s="373"/>
      <c r="BX191" s="315"/>
      <c r="BY191" s="373"/>
      <c r="BZ191" s="315"/>
      <c r="CA191" s="315"/>
      <c r="CB191" s="353"/>
      <c r="CC191" s="313"/>
      <c r="CD191" s="522"/>
      <c r="CE191" s="526"/>
      <c r="CF191" s="527"/>
      <c r="CG191" s="526"/>
      <c r="CH191" s="527"/>
      <c r="CI191" s="526"/>
      <c r="CJ191" s="527"/>
      <c r="CK191" s="526"/>
      <c r="CL191" s="527"/>
      <c r="CM191" s="526"/>
      <c r="CN191" s="527"/>
      <c r="CO191" s="526"/>
      <c r="CP191" s="527"/>
      <c r="CQ191" s="526"/>
      <c r="CR191" s="527"/>
      <c r="CS191" s="522"/>
      <c r="CT191" s="313"/>
      <c r="CU191" s="313"/>
      <c r="CV191" s="313"/>
      <c r="CW191" s="313"/>
      <c r="CX191" s="313"/>
      <c r="CY191" s="313"/>
      <c r="CZ191" s="313"/>
      <c r="DA191" s="313"/>
      <c r="DB191" s="313"/>
      <c r="DC191" s="313"/>
    </row>
    <row r="192" spans="1:107" s="2" customFormat="1">
      <c r="A192" s="347"/>
      <c r="B192" s="347"/>
      <c r="C192" s="268"/>
      <c r="D192" s="346"/>
      <c r="E192" s="347"/>
      <c r="F192" s="349"/>
      <c r="G192" s="349"/>
      <c r="H192" s="348"/>
      <c r="I192" s="347"/>
      <c r="J192" s="348"/>
      <c r="K192" s="349"/>
      <c r="L192" s="348"/>
      <c r="M192" s="347"/>
      <c r="N192" s="347"/>
      <c r="O192" s="313"/>
      <c r="P192" s="313"/>
      <c r="Q192" s="313"/>
      <c r="R192" s="313"/>
      <c r="S192" s="313"/>
      <c r="T192" s="348"/>
      <c r="U192" s="349"/>
      <c r="V192" s="348"/>
      <c r="W192" s="349"/>
      <c r="X192" s="313"/>
      <c r="Y192" s="313"/>
      <c r="Z192" s="667"/>
      <c r="AA192" s="373"/>
      <c r="AB192" s="667"/>
      <c r="AC192" s="373"/>
      <c r="AD192" s="315"/>
      <c r="AE192" s="315"/>
      <c r="AF192" s="348"/>
      <c r="AG192" s="349"/>
      <c r="AH192" s="348"/>
      <c r="AI192" s="349"/>
      <c r="AJ192" s="313"/>
      <c r="AK192" s="313"/>
      <c r="AL192" s="667"/>
      <c r="AM192" s="373"/>
      <c r="AN192" s="667"/>
      <c r="AO192" s="373"/>
      <c r="AP192" s="315"/>
      <c r="AQ192" s="315"/>
      <c r="AR192" s="348"/>
      <c r="AS192" s="349"/>
      <c r="AT192" s="348"/>
      <c r="AU192" s="349"/>
      <c r="AV192" s="313"/>
      <c r="AW192" s="313"/>
      <c r="AX192" s="667"/>
      <c r="AY192" s="373"/>
      <c r="AZ192" s="667"/>
      <c r="BA192" s="373"/>
      <c r="BB192" s="315"/>
      <c r="BC192" s="315"/>
      <c r="BD192" s="313"/>
      <c r="BE192" s="349"/>
      <c r="BF192" s="348"/>
      <c r="BG192" s="349"/>
      <c r="BH192" s="313"/>
      <c r="BI192" s="313"/>
      <c r="BJ192" s="315"/>
      <c r="BK192" s="373"/>
      <c r="BL192" s="667"/>
      <c r="BM192" s="373"/>
      <c r="BN192" s="315"/>
      <c r="BO192" s="315"/>
      <c r="BP192" s="313"/>
      <c r="BQ192" s="349"/>
      <c r="BR192" s="313"/>
      <c r="BS192" s="349"/>
      <c r="BT192" s="313"/>
      <c r="BU192" s="313"/>
      <c r="BV192" s="315"/>
      <c r="BW192" s="373"/>
      <c r="BX192" s="315"/>
      <c r="BY192" s="373"/>
      <c r="BZ192" s="315"/>
      <c r="CA192" s="315"/>
      <c r="CB192" s="353"/>
      <c r="CC192" s="313"/>
      <c r="CD192" s="522"/>
      <c r="CE192" s="526"/>
      <c r="CF192" s="527"/>
      <c r="CG192" s="526"/>
      <c r="CH192" s="527"/>
      <c r="CI192" s="526"/>
      <c r="CJ192" s="527"/>
      <c r="CK192" s="526"/>
      <c r="CL192" s="527"/>
      <c r="CM192" s="526"/>
      <c r="CN192" s="527"/>
      <c r="CO192" s="526"/>
      <c r="CP192" s="527"/>
      <c r="CQ192" s="526"/>
      <c r="CR192" s="527"/>
      <c r="CS192" s="522"/>
      <c r="CT192" s="313"/>
      <c r="CU192" s="313"/>
      <c r="CV192" s="313"/>
      <c r="CW192" s="313"/>
      <c r="CX192" s="313"/>
      <c r="CY192" s="313"/>
      <c r="CZ192" s="313"/>
      <c r="DA192" s="313"/>
      <c r="DB192" s="313"/>
      <c r="DC192" s="313"/>
    </row>
    <row r="193" spans="1:107" s="2" customFormat="1">
      <c r="A193" s="347"/>
      <c r="B193" s="347"/>
      <c r="C193" s="268"/>
      <c r="D193" s="346"/>
      <c r="E193" s="347"/>
      <c r="F193" s="349"/>
      <c r="G193" s="349"/>
      <c r="H193" s="348"/>
      <c r="I193" s="347"/>
      <c r="J193" s="348"/>
      <c r="K193" s="349"/>
      <c r="L193" s="348"/>
      <c r="M193" s="347"/>
      <c r="N193" s="347"/>
      <c r="O193" s="313"/>
      <c r="P193" s="313"/>
      <c r="Q193" s="313"/>
      <c r="R193" s="313"/>
      <c r="S193" s="313"/>
      <c r="T193" s="348"/>
      <c r="U193" s="349"/>
      <c r="V193" s="348"/>
      <c r="W193" s="349"/>
      <c r="X193" s="313"/>
      <c r="Y193" s="313"/>
      <c r="Z193" s="667"/>
      <c r="AA193" s="373"/>
      <c r="AB193" s="667"/>
      <c r="AC193" s="373"/>
      <c r="AD193" s="315"/>
      <c r="AE193" s="315"/>
      <c r="AF193" s="348"/>
      <c r="AG193" s="349"/>
      <c r="AH193" s="348"/>
      <c r="AI193" s="349"/>
      <c r="AJ193" s="313"/>
      <c r="AK193" s="313"/>
      <c r="AL193" s="667"/>
      <c r="AM193" s="373"/>
      <c r="AN193" s="667"/>
      <c r="AO193" s="373"/>
      <c r="AP193" s="315"/>
      <c r="AQ193" s="315"/>
      <c r="AR193" s="348"/>
      <c r="AS193" s="349"/>
      <c r="AT193" s="348"/>
      <c r="AU193" s="349"/>
      <c r="AV193" s="313"/>
      <c r="AW193" s="313"/>
      <c r="AX193" s="667"/>
      <c r="AY193" s="373"/>
      <c r="AZ193" s="667"/>
      <c r="BA193" s="373"/>
      <c r="BB193" s="315"/>
      <c r="BC193" s="315"/>
      <c r="BD193" s="313"/>
      <c r="BE193" s="349"/>
      <c r="BF193" s="348"/>
      <c r="BG193" s="349"/>
      <c r="BH193" s="313"/>
      <c r="BI193" s="313"/>
      <c r="BJ193" s="315"/>
      <c r="BK193" s="373"/>
      <c r="BL193" s="667"/>
      <c r="BM193" s="373"/>
      <c r="BN193" s="315"/>
      <c r="BO193" s="315"/>
      <c r="BP193" s="313"/>
      <c r="BQ193" s="349"/>
      <c r="BR193" s="313"/>
      <c r="BS193" s="349"/>
      <c r="BT193" s="313"/>
      <c r="BU193" s="313"/>
      <c r="BV193" s="315"/>
      <c r="BW193" s="373"/>
      <c r="BX193" s="315"/>
      <c r="BY193" s="373"/>
      <c r="BZ193" s="315"/>
      <c r="CA193" s="315"/>
      <c r="CB193" s="353"/>
      <c r="CC193" s="313"/>
      <c r="CD193" s="522"/>
      <c r="CE193" s="526"/>
      <c r="CF193" s="527"/>
      <c r="CG193" s="526"/>
      <c r="CH193" s="527"/>
      <c r="CI193" s="526"/>
      <c r="CJ193" s="527"/>
      <c r="CK193" s="526"/>
      <c r="CL193" s="527"/>
      <c r="CM193" s="526"/>
      <c r="CN193" s="527"/>
      <c r="CO193" s="526"/>
      <c r="CP193" s="527"/>
      <c r="CQ193" s="526"/>
      <c r="CR193" s="527"/>
      <c r="CS193" s="522"/>
      <c r="CT193" s="313"/>
      <c r="CU193" s="313"/>
      <c r="CV193" s="313"/>
      <c r="CW193" s="313"/>
      <c r="CX193" s="313"/>
      <c r="CY193" s="313"/>
      <c r="CZ193" s="313"/>
      <c r="DA193" s="313"/>
      <c r="DB193" s="313"/>
      <c r="DC193" s="313"/>
    </row>
    <row r="194" spans="1:107" s="2" customFormat="1">
      <c r="A194" s="347"/>
      <c r="B194" s="347"/>
      <c r="C194" s="268"/>
      <c r="D194" s="346"/>
      <c r="E194" s="347"/>
      <c r="F194" s="349"/>
      <c r="G194" s="349"/>
      <c r="H194" s="348"/>
      <c r="I194" s="347"/>
      <c r="J194" s="348"/>
      <c r="K194" s="349"/>
      <c r="L194" s="348"/>
      <c r="M194" s="347"/>
      <c r="N194" s="347"/>
      <c r="O194" s="313"/>
      <c r="P194" s="313"/>
      <c r="Q194" s="313"/>
      <c r="R194" s="313"/>
      <c r="S194" s="313"/>
      <c r="T194" s="348"/>
      <c r="U194" s="349"/>
      <c r="V194" s="348"/>
      <c r="W194" s="349"/>
      <c r="X194" s="313"/>
      <c r="Y194" s="313"/>
      <c r="Z194" s="667"/>
      <c r="AA194" s="373"/>
      <c r="AB194" s="667"/>
      <c r="AC194" s="373"/>
      <c r="AD194" s="315"/>
      <c r="AE194" s="315"/>
      <c r="AF194" s="348"/>
      <c r="AG194" s="349"/>
      <c r="AH194" s="348"/>
      <c r="AI194" s="349"/>
      <c r="AJ194" s="313"/>
      <c r="AK194" s="313"/>
      <c r="AL194" s="667"/>
      <c r="AM194" s="373"/>
      <c r="AN194" s="667"/>
      <c r="AO194" s="373"/>
      <c r="AP194" s="315"/>
      <c r="AQ194" s="315"/>
      <c r="AR194" s="348"/>
      <c r="AS194" s="349"/>
      <c r="AT194" s="348"/>
      <c r="AU194" s="349"/>
      <c r="AV194" s="313"/>
      <c r="AW194" s="313"/>
      <c r="AX194" s="667"/>
      <c r="AY194" s="373"/>
      <c r="AZ194" s="667"/>
      <c r="BA194" s="373"/>
      <c r="BB194" s="315"/>
      <c r="BC194" s="315"/>
      <c r="BD194" s="313"/>
      <c r="BE194" s="349"/>
      <c r="BF194" s="348"/>
      <c r="BG194" s="349"/>
      <c r="BH194" s="313"/>
      <c r="BI194" s="313"/>
      <c r="BJ194" s="315"/>
      <c r="BK194" s="373"/>
      <c r="BL194" s="667"/>
      <c r="BM194" s="373"/>
      <c r="BN194" s="315"/>
      <c r="BO194" s="315"/>
      <c r="BP194" s="313"/>
      <c r="BQ194" s="349"/>
      <c r="BR194" s="313"/>
      <c r="BS194" s="349"/>
      <c r="BT194" s="313"/>
      <c r="BU194" s="313"/>
      <c r="BV194" s="315"/>
      <c r="BW194" s="373"/>
      <c r="BX194" s="315"/>
      <c r="BY194" s="373"/>
      <c r="BZ194" s="315"/>
      <c r="CA194" s="315"/>
      <c r="CB194" s="353"/>
      <c r="CC194" s="313"/>
      <c r="CD194" s="522"/>
      <c r="CE194" s="526"/>
      <c r="CF194" s="527"/>
      <c r="CG194" s="526"/>
      <c r="CH194" s="527"/>
      <c r="CI194" s="526"/>
      <c r="CJ194" s="527"/>
      <c r="CK194" s="526"/>
      <c r="CL194" s="527"/>
      <c r="CM194" s="526"/>
      <c r="CN194" s="527"/>
      <c r="CO194" s="526"/>
      <c r="CP194" s="527"/>
      <c r="CQ194" s="526"/>
      <c r="CR194" s="527"/>
      <c r="CS194" s="522"/>
      <c r="CT194" s="313"/>
      <c r="CU194" s="313"/>
      <c r="CV194" s="313"/>
      <c r="CW194" s="313"/>
      <c r="CX194" s="313"/>
      <c r="CY194" s="313"/>
      <c r="CZ194" s="313"/>
      <c r="DA194" s="313"/>
      <c r="DB194" s="313"/>
      <c r="DC194" s="313"/>
    </row>
    <row r="195" spans="1:107" s="2" customFormat="1">
      <c r="A195" s="347"/>
      <c r="B195" s="347"/>
      <c r="C195" s="268"/>
      <c r="D195" s="346"/>
      <c r="E195" s="347"/>
      <c r="F195" s="349"/>
      <c r="G195" s="349"/>
      <c r="H195" s="348"/>
      <c r="I195" s="347"/>
      <c r="J195" s="348"/>
      <c r="K195" s="349"/>
      <c r="L195" s="348"/>
      <c r="M195" s="347"/>
      <c r="N195" s="347"/>
      <c r="O195" s="313"/>
      <c r="P195" s="313"/>
      <c r="Q195" s="313"/>
      <c r="R195" s="313"/>
      <c r="S195" s="313"/>
      <c r="T195" s="348"/>
      <c r="U195" s="349"/>
      <c r="V195" s="348"/>
      <c r="W195" s="349"/>
      <c r="X195" s="313"/>
      <c r="Y195" s="313"/>
      <c r="Z195" s="667"/>
      <c r="AA195" s="373"/>
      <c r="AB195" s="667"/>
      <c r="AC195" s="373"/>
      <c r="AD195" s="315"/>
      <c r="AE195" s="315"/>
      <c r="AF195" s="348"/>
      <c r="AG195" s="349"/>
      <c r="AH195" s="348"/>
      <c r="AI195" s="349"/>
      <c r="AJ195" s="313"/>
      <c r="AK195" s="313"/>
      <c r="AL195" s="667"/>
      <c r="AM195" s="373"/>
      <c r="AN195" s="667"/>
      <c r="AO195" s="373"/>
      <c r="AP195" s="315"/>
      <c r="AQ195" s="315"/>
      <c r="AR195" s="348"/>
      <c r="AS195" s="349"/>
      <c r="AT195" s="348"/>
      <c r="AU195" s="349"/>
      <c r="AV195" s="313"/>
      <c r="AW195" s="313"/>
      <c r="AX195" s="667"/>
      <c r="AY195" s="373"/>
      <c r="AZ195" s="667"/>
      <c r="BA195" s="373"/>
      <c r="BB195" s="315"/>
      <c r="BC195" s="315"/>
      <c r="BD195" s="313"/>
      <c r="BE195" s="349"/>
      <c r="BF195" s="348"/>
      <c r="BG195" s="349"/>
      <c r="BH195" s="313"/>
      <c r="BI195" s="313"/>
      <c r="BJ195" s="315"/>
      <c r="BK195" s="373"/>
      <c r="BL195" s="667"/>
      <c r="BM195" s="373"/>
      <c r="BN195" s="315"/>
      <c r="BO195" s="315"/>
      <c r="BP195" s="313"/>
      <c r="BQ195" s="349"/>
      <c r="BR195" s="313"/>
      <c r="BS195" s="349"/>
      <c r="BT195" s="313"/>
      <c r="BU195" s="313"/>
      <c r="BV195" s="315"/>
      <c r="BW195" s="373"/>
      <c r="BX195" s="315"/>
      <c r="BY195" s="373"/>
      <c r="BZ195" s="315"/>
      <c r="CA195" s="315"/>
      <c r="CB195" s="353"/>
      <c r="CC195" s="313"/>
      <c r="CD195" s="522"/>
      <c r="CE195" s="526"/>
      <c r="CF195" s="527"/>
      <c r="CG195" s="526"/>
      <c r="CH195" s="527"/>
      <c r="CI195" s="526"/>
      <c r="CJ195" s="527"/>
      <c r="CK195" s="526"/>
      <c r="CL195" s="527"/>
      <c r="CM195" s="526"/>
      <c r="CN195" s="527"/>
      <c r="CO195" s="526"/>
      <c r="CP195" s="527"/>
      <c r="CQ195" s="526"/>
      <c r="CR195" s="527"/>
      <c r="CS195" s="522"/>
      <c r="CT195" s="313"/>
      <c r="CU195" s="313"/>
      <c r="CV195" s="313"/>
      <c r="CW195" s="313"/>
      <c r="CX195" s="313"/>
      <c r="CY195" s="313"/>
      <c r="CZ195" s="313"/>
      <c r="DA195" s="313"/>
      <c r="DB195" s="313"/>
      <c r="DC195" s="313"/>
    </row>
    <row r="196" spans="1:107" s="2" customFormat="1">
      <c r="A196" s="347"/>
      <c r="B196" s="347"/>
      <c r="C196" s="268"/>
      <c r="D196" s="346"/>
      <c r="E196" s="347"/>
      <c r="F196" s="349"/>
      <c r="G196" s="349"/>
      <c r="H196" s="348"/>
      <c r="I196" s="347"/>
      <c r="J196" s="348"/>
      <c r="K196" s="349"/>
      <c r="L196" s="348"/>
      <c r="M196" s="347"/>
      <c r="N196" s="347"/>
      <c r="O196" s="313"/>
      <c r="P196" s="313"/>
      <c r="Q196" s="313"/>
      <c r="R196" s="313"/>
      <c r="S196" s="313"/>
      <c r="T196" s="348"/>
      <c r="U196" s="349"/>
      <c r="V196" s="348"/>
      <c r="W196" s="349"/>
      <c r="X196" s="313"/>
      <c r="Y196" s="313"/>
      <c r="Z196" s="667"/>
      <c r="AA196" s="373"/>
      <c r="AB196" s="667"/>
      <c r="AC196" s="373"/>
      <c r="AD196" s="315"/>
      <c r="AE196" s="315"/>
      <c r="AF196" s="348"/>
      <c r="AG196" s="349"/>
      <c r="AH196" s="348"/>
      <c r="AI196" s="349"/>
      <c r="AJ196" s="313"/>
      <c r="AK196" s="313"/>
      <c r="AL196" s="667"/>
      <c r="AM196" s="373"/>
      <c r="AN196" s="667"/>
      <c r="AO196" s="373"/>
      <c r="AP196" s="315"/>
      <c r="AQ196" s="315"/>
      <c r="AR196" s="348"/>
      <c r="AS196" s="349"/>
      <c r="AT196" s="348"/>
      <c r="AU196" s="349"/>
      <c r="AV196" s="313"/>
      <c r="AW196" s="313"/>
      <c r="AX196" s="667"/>
      <c r="AY196" s="373"/>
      <c r="AZ196" s="667"/>
      <c r="BA196" s="373"/>
      <c r="BB196" s="315"/>
      <c r="BC196" s="315"/>
      <c r="BD196" s="313"/>
      <c r="BE196" s="349"/>
      <c r="BF196" s="348"/>
      <c r="BG196" s="349"/>
      <c r="BH196" s="313"/>
      <c r="BI196" s="313"/>
      <c r="BJ196" s="315"/>
      <c r="BK196" s="373"/>
      <c r="BL196" s="667"/>
      <c r="BM196" s="373"/>
      <c r="BN196" s="315"/>
      <c r="BO196" s="315"/>
      <c r="BP196" s="313"/>
      <c r="BQ196" s="349"/>
      <c r="BR196" s="313"/>
      <c r="BS196" s="349"/>
      <c r="BT196" s="313"/>
      <c r="BU196" s="313"/>
      <c r="BV196" s="315"/>
      <c r="BW196" s="373"/>
      <c r="BX196" s="315"/>
      <c r="BY196" s="373"/>
      <c r="BZ196" s="315"/>
      <c r="CA196" s="315"/>
      <c r="CB196" s="353"/>
      <c r="CC196" s="313"/>
      <c r="CD196" s="522"/>
      <c r="CE196" s="526"/>
      <c r="CF196" s="527"/>
      <c r="CG196" s="526"/>
      <c r="CH196" s="527"/>
      <c r="CI196" s="526"/>
      <c r="CJ196" s="527"/>
      <c r="CK196" s="526"/>
      <c r="CL196" s="527"/>
      <c r="CM196" s="526"/>
      <c r="CN196" s="527"/>
      <c r="CO196" s="526"/>
      <c r="CP196" s="527"/>
      <c r="CQ196" s="526"/>
      <c r="CR196" s="527"/>
      <c r="CS196" s="522"/>
      <c r="CT196" s="313"/>
      <c r="CU196" s="313"/>
      <c r="CV196" s="313"/>
      <c r="CW196" s="313"/>
      <c r="CX196" s="313"/>
      <c r="CY196" s="313"/>
      <c r="CZ196" s="313"/>
      <c r="DA196" s="313"/>
      <c r="DB196" s="313"/>
      <c r="DC196" s="313"/>
    </row>
    <row r="197" spans="1:107" s="2" customFormat="1">
      <c r="A197" s="347"/>
      <c r="B197" s="347"/>
      <c r="C197" s="268"/>
      <c r="D197" s="346"/>
      <c r="E197" s="347"/>
      <c r="F197" s="349"/>
      <c r="G197" s="349"/>
      <c r="H197" s="348"/>
      <c r="I197" s="347"/>
      <c r="J197" s="348"/>
      <c r="K197" s="349"/>
      <c r="L197" s="348"/>
      <c r="M197" s="347"/>
      <c r="N197" s="347"/>
      <c r="O197" s="313"/>
      <c r="P197" s="313"/>
      <c r="Q197" s="313"/>
      <c r="R197" s="313"/>
      <c r="S197" s="313"/>
      <c r="T197" s="348"/>
      <c r="U197" s="349"/>
      <c r="V197" s="348"/>
      <c r="W197" s="349"/>
      <c r="X197" s="313"/>
      <c r="Y197" s="313"/>
      <c r="Z197" s="667"/>
      <c r="AA197" s="373"/>
      <c r="AB197" s="667"/>
      <c r="AC197" s="373"/>
      <c r="AD197" s="315"/>
      <c r="AE197" s="315"/>
      <c r="AF197" s="348"/>
      <c r="AG197" s="349"/>
      <c r="AH197" s="348"/>
      <c r="AI197" s="349"/>
      <c r="AJ197" s="313"/>
      <c r="AK197" s="313"/>
      <c r="AL197" s="667"/>
      <c r="AM197" s="373"/>
      <c r="AN197" s="667"/>
      <c r="AO197" s="373"/>
      <c r="AP197" s="315"/>
      <c r="AQ197" s="315"/>
      <c r="AR197" s="348"/>
      <c r="AS197" s="349"/>
      <c r="AT197" s="348"/>
      <c r="AU197" s="349"/>
      <c r="AV197" s="313"/>
      <c r="AW197" s="313"/>
      <c r="AX197" s="667"/>
      <c r="AY197" s="373"/>
      <c r="AZ197" s="667"/>
      <c r="BA197" s="373"/>
      <c r="BB197" s="315"/>
      <c r="BC197" s="315"/>
      <c r="BD197" s="313"/>
      <c r="BE197" s="349"/>
      <c r="BF197" s="348"/>
      <c r="BG197" s="349"/>
      <c r="BH197" s="313"/>
      <c r="BI197" s="313"/>
      <c r="BJ197" s="315"/>
      <c r="BK197" s="373"/>
      <c r="BL197" s="667"/>
      <c r="BM197" s="373"/>
      <c r="BN197" s="315"/>
      <c r="BO197" s="315"/>
      <c r="BP197" s="313"/>
      <c r="BQ197" s="349"/>
      <c r="BR197" s="313"/>
      <c r="BS197" s="349"/>
      <c r="BT197" s="313"/>
      <c r="BU197" s="313"/>
      <c r="BV197" s="315"/>
      <c r="BW197" s="373"/>
      <c r="BX197" s="315"/>
      <c r="BY197" s="373"/>
      <c r="BZ197" s="315"/>
      <c r="CA197" s="315"/>
      <c r="CB197" s="353"/>
      <c r="CC197" s="313"/>
      <c r="CD197" s="522"/>
      <c r="CE197" s="526"/>
      <c r="CF197" s="527"/>
      <c r="CG197" s="526"/>
      <c r="CH197" s="527"/>
      <c r="CI197" s="526"/>
      <c r="CJ197" s="527"/>
      <c r="CK197" s="526"/>
      <c r="CL197" s="527"/>
      <c r="CM197" s="526"/>
      <c r="CN197" s="527"/>
      <c r="CO197" s="526"/>
      <c r="CP197" s="527"/>
      <c r="CQ197" s="526"/>
      <c r="CR197" s="527"/>
      <c r="CS197" s="522"/>
      <c r="CT197" s="313"/>
      <c r="CU197" s="313"/>
      <c r="CV197" s="313"/>
      <c r="CW197" s="313"/>
      <c r="CX197" s="313"/>
      <c r="CY197" s="313"/>
      <c r="CZ197" s="313"/>
      <c r="DA197" s="313"/>
      <c r="DB197" s="313"/>
      <c r="DC197" s="313"/>
    </row>
    <row r="198" spans="1:107" s="2" customFormat="1">
      <c r="A198" s="347"/>
      <c r="B198" s="347"/>
      <c r="C198" s="268"/>
      <c r="D198" s="346"/>
      <c r="E198" s="347"/>
      <c r="F198" s="349"/>
      <c r="G198" s="349"/>
      <c r="H198" s="348"/>
      <c r="I198" s="347"/>
      <c r="J198" s="348"/>
      <c r="K198" s="349"/>
      <c r="L198" s="348"/>
      <c r="M198" s="347"/>
      <c r="N198" s="347"/>
      <c r="O198" s="313"/>
      <c r="P198" s="313"/>
      <c r="Q198" s="313"/>
      <c r="R198" s="313"/>
      <c r="S198" s="313"/>
      <c r="T198" s="348"/>
      <c r="U198" s="349"/>
      <c r="V198" s="348"/>
      <c r="W198" s="349"/>
      <c r="X198" s="313"/>
      <c r="Y198" s="313"/>
      <c r="Z198" s="667"/>
      <c r="AA198" s="373"/>
      <c r="AB198" s="667"/>
      <c r="AC198" s="373"/>
      <c r="AD198" s="315"/>
      <c r="AE198" s="315"/>
      <c r="AF198" s="348"/>
      <c r="AG198" s="349"/>
      <c r="AH198" s="348"/>
      <c r="AI198" s="349"/>
      <c r="AJ198" s="313"/>
      <c r="AK198" s="313"/>
      <c r="AL198" s="667"/>
      <c r="AM198" s="373"/>
      <c r="AN198" s="667"/>
      <c r="AO198" s="373"/>
      <c r="AP198" s="315"/>
      <c r="AQ198" s="315"/>
      <c r="AR198" s="348"/>
      <c r="AS198" s="349"/>
      <c r="AT198" s="348"/>
      <c r="AU198" s="349"/>
      <c r="AV198" s="313"/>
      <c r="AW198" s="313"/>
      <c r="AX198" s="667"/>
      <c r="AY198" s="373"/>
      <c r="AZ198" s="667"/>
      <c r="BA198" s="373"/>
      <c r="BB198" s="315"/>
      <c r="BC198" s="315"/>
      <c r="BD198" s="313"/>
      <c r="BE198" s="349"/>
      <c r="BF198" s="348"/>
      <c r="BG198" s="349"/>
      <c r="BH198" s="313"/>
      <c r="BI198" s="313"/>
      <c r="BJ198" s="315"/>
      <c r="BK198" s="373"/>
      <c r="BL198" s="667"/>
      <c r="BM198" s="373"/>
      <c r="BN198" s="315"/>
      <c r="BO198" s="315"/>
      <c r="BP198" s="313"/>
      <c r="BQ198" s="349"/>
      <c r="BR198" s="313"/>
      <c r="BS198" s="349"/>
      <c r="BT198" s="313"/>
      <c r="BU198" s="313"/>
      <c r="BV198" s="315"/>
      <c r="BW198" s="373"/>
      <c r="BX198" s="315"/>
      <c r="BY198" s="373"/>
      <c r="BZ198" s="315"/>
      <c r="CA198" s="315"/>
      <c r="CB198" s="353"/>
      <c r="CC198" s="313"/>
      <c r="CD198" s="522"/>
      <c r="CE198" s="526"/>
      <c r="CF198" s="527"/>
      <c r="CG198" s="526"/>
      <c r="CH198" s="527"/>
      <c r="CI198" s="526"/>
      <c r="CJ198" s="527"/>
      <c r="CK198" s="526"/>
      <c r="CL198" s="527"/>
      <c r="CM198" s="526"/>
      <c r="CN198" s="527"/>
      <c r="CO198" s="526"/>
      <c r="CP198" s="527"/>
      <c r="CQ198" s="526"/>
      <c r="CR198" s="527"/>
      <c r="CS198" s="522"/>
      <c r="CT198" s="313"/>
      <c r="CU198" s="313"/>
      <c r="CV198" s="313"/>
      <c r="CW198" s="313"/>
      <c r="CX198" s="313"/>
      <c r="CY198" s="313"/>
      <c r="CZ198" s="313"/>
      <c r="DA198" s="313"/>
      <c r="DB198" s="313"/>
      <c r="DC198" s="313"/>
    </row>
    <row r="199" spans="1:107" s="2" customFormat="1">
      <c r="A199" s="347"/>
      <c r="B199" s="347"/>
      <c r="C199" s="268"/>
      <c r="D199" s="346"/>
      <c r="E199" s="347"/>
      <c r="F199" s="349"/>
      <c r="G199" s="349"/>
      <c r="H199" s="348"/>
      <c r="I199" s="347"/>
      <c r="J199" s="348"/>
      <c r="K199" s="349"/>
      <c r="L199" s="348"/>
      <c r="M199" s="347"/>
      <c r="N199" s="347"/>
      <c r="O199" s="313"/>
      <c r="P199" s="313"/>
      <c r="Q199" s="313"/>
      <c r="R199" s="313"/>
      <c r="S199" s="313"/>
      <c r="T199" s="348"/>
      <c r="U199" s="349"/>
      <c r="V199" s="348"/>
      <c r="W199" s="349"/>
      <c r="X199" s="313"/>
      <c r="Y199" s="313"/>
      <c r="Z199" s="667"/>
      <c r="AA199" s="373"/>
      <c r="AB199" s="667"/>
      <c r="AC199" s="373"/>
      <c r="AD199" s="315"/>
      <c r="AE199" s="315"/>
      <c r="AF199" s="348"/>
      <c r="AG199" s="349"/>
      <c r="AH199" s="348"/>
      <c r="AI199" s="349"/>
      <c r="AJ199" s="313"/>
      <c r="AK199" s="313"/>
      <c r="AL199" s="667"/>
      <c r="AM199" s="373"/>
      <c r="AN199" s="667"/>
      <c r="AO199" s="373"/>
      <c r="AP199" s="315"/>
      <c r="AQ199" s="315"/>
      <c r="AR199" s="348"/>
      <c r="AS199" s="349"/>
      <c r="AT199" s="348"/>
      <c r="AU199" s="349"/>
      <c r="AV199" s="313"/>
      <c r="AW199" s="313"/>
      <c r="AX199" s="667"/>
      <c r="AY199" s="373"/>
      <c r="AZ199" s="667"/>
      <c r="BA199" s="373"/>
      <c r="BB199" s="315"/>
      <c r="BC199" s="315"/>
      <c r="BD199" s="313"/>
      <c r="BE199" s="349"/>
      <c r="BF199" s="348"/>
      <c r="BG199" s="349"/>
      <c r="BH199" s="313"/>
      <c r="BI199" s="313"/>
      <c r="BJ199" s="315"/>
      <c r="BK199" s="373"/>
      <c r="BL199" s="667"/>
      <c r="BM199" s="373"/>
      <c r="BN199" s="315"/>
      <c r="BO199" s="315"/>
      <c r="BP199" s="313"/>
      <c r="BQ199" s="349"/>
      <c r="BR199" s="313"/>
      <c r="BS199" s="349"/>
      <c r="BT199" s="313"/>
      <c r="BU199" s="313"/>
      <c r="BV199" s="315"/>
      <c r="BW199" s="373"/>
      <c r="BX199" s="315"/>
      <c r="BY199" s="373"/>
      <c r="BZ199" s="315"/>
      <c r="CA199" s="315"/>
      <c r="CB199" s="353"/>
      <c r="CC199" s="313"/>
      <c r="CD199" s="522"/>
      <c r="CE199" s="526"/>
      <c r="CF199" s="527"/>
      <c r="CG199" s="526"/>
      <c r="CH199" s="527"/>
      <c r="CI199" s="526"/>
      <c r="CJ199" s="527"/>
      <c r="CK199" s="526"/>
      <c r="CL199" s="527"/>
      <c r="CM199" s="526"/>
      <c r="CN199" s="527"/>
      <c r="CO199" s="526"/>
      <c r="CP199" s="527"/>
      <c r="CQ199" s="526"/>
      <c r="CR199" s="527"/>
      <c r="CS199" s="522"/>
      <c r="CT199" s="313"/>
      <c r="CU199" s="313"/>
      <c r="CV199" s="313"/>
      <c r="CW199" s="313"/>
      <c r="CX199" s="313"/>
      <c r="CY199" s="313"/>
      <c r="CZ199" s="313"/>
      <c r="DA199" s="313"/>
      <c r="DB199" s="313"/>
      <c r="DC199" s="313"/>
    </row>
    <row r="200" spans="1:107" s="2" customFormat="1">
      <c r="A200" s="347"/>
      <c r="B200" s="347"/>
      <c r="C200" s="268"/>
      <c r="D200" s="346"/>
      <c r="E200" s="347"/>
      <c r="F200" s="349"/>
      <c r="G200" s="349"/>
      <c r="H200" s="348"/>
      <c r="I200" s="347"/>
      <c r="J200" s="348"/>
      <c r="K200" s="349"/>
      <c r="L200" s="348"/>
      <c r="M200" s="347"/>
      <c r="N200" s="347"/>
      <c r="O200" s="313"/>
      <c r="P200" s="313"/>
      <c r="Q200" s="313"/>
      <c r="R200" s="313"/>
      <c r="S200" s="313"/>
      <c r="T200" s="348"/>
      <c r="U200" s="349"/>
      <c r="V200" s="348"/>
      <c r="W200" s="349"/>
      <c r="X200" s="313"/>
      <c r="Y200" s="313"/>
      <c r="Z200" s="667"/>
      <c r="AA200" s="373"/>
      <c r="AB200" s="667"/>
      <c r="AC200" s="373"/>
      <c r="AD200" s="315"/>
      <c r="AE200" s="315"/>
      <c r="AF200" s="348"/>
      <c r="AG200" s="349"/>
      <c r="AH200" s="348"/>
      <c r="AI200" s="349"/>
      <c r="AJ200" s="313"/>
      <c r="AK200" s="313"/>
      <c r="AL200" s="667"/>
      <c r="AM200" s="373"/>
      <c r="AN200" s="667"/>
      <c r="AO200" s="373"/>
      <c r="AP200" s="315"/>
      <c r="AQ200" s="315"/>
      <c r="AR200" s="348"/>
      <c r="AS200" s="349"/>
      <c r="AT200" s="348"/>
      <c r="AU200" s="349"/>
      <c r="AV200" s="313"/>
      <c r="AW200" s="313"/>
      <c r="AX200" s="667"/>
      <c r="AY200" s="373"/>
      <c r="AZ200" s="667"/>
      <c r="BA200" s="373"/>
      <c r="BB200" s="315"/>
      <c r="BC200" s="315"/>
      <c r="BD200" s="313"/>
      <c r="BE200" s="349"/>
      <c r="BF200" s="348"/>
      <c r="BG200" s="349"/>
      <c r="BH200" s="313"/>
      <c r="BI200" s="313"/>
      <c r="BJ200" s="315"/>
      <c r="BK200" s="373"/>
      <c r="BL200" s="667"/>
      <c r="BM200" s="373"/>
      <c r="BN200" s="315"/>
      <c r="BO200" s="315"/>
      <c r="BP200" s="313"/>
      <c r="BQ200" s="349"/>
      <c r="BR200" s="313"/>
      <c r="BS200" s="349"/>
      <c r="BT200" s="313"/>
      <c r="BU200" s="313"/>
      <c r="BV200" s="315"/>
      <c r="BW200" s="373"/>
      <c r="BX200" s="315"/>
      <c r="BY200" s="373"/>
      <c r="BZ200" s="315"/>
      <c r="CA200" s="315"/>
      <c r="CB200" s="353"/>
      <c r="CC200" s="313"/>
      <c r="CD200" s="522"/>
      <c r="CE200" s="526"/>
      <c r="CF200" s="527"/>
      <c r="CG200" s="526"/>
      <c r="CH200" s="527"/>
      <c r="CI200" s="526"/>
      <c r="CJ200" s="527"/>
      <c r="CK200" s="526"/>
      <c r="CL200" s="527"/>
      <c r="CM200" s="526"/>
      <c r="CN200" s="527"/>
      <c r="CO200" s="526"/>
      <c r="CP200" s="527"/>
      <c r="CQ200" s="526"/>
      <c r="CR200" s="527"/>
      <c r="CS200" s="522"/>
      <c r="CT200" s="313"/>
      <c r="CU200" s="313"/>
      <c r="CV200" s="313"/>
      <c r="CW200" s="313"/>
      <c r="CX200" s="313"/>
      <c r="CY200" s="313"/>
      <c r="CZ200" s="313"/>
      <c r="DA200" s="313"/>
      <c r="DB200" s="313"/>
      <c r="DC200" s="313"/>
    </row>
    <row r="201" spans="1:107" s="2" customFormat="1">
      <c r="A201" s="347"/>
      <c r="B201" s="347"/>
      <c r="C201" s="268"/>
      <c r="D201" s="346"/>
      <c r="E201" s="347"/>
      <c r="F201" s="349"/>
      <c r="G201" s="349"/>
      <c r="H201" s="348"/>
      <c r="I201" s="347"/>
      <c r="J201" s="348"/>
      <c r="K201" s="349"/>
      <c r="L201" s="348"/>
      <c r="M201" s="347"/>
      <c r="N201" s="347"/>
      <c r="O201" s="313"/>
      <c r="P201" s="313"/>
      <c r="Q201" s="313"/>
      <c r="R201" s="313"/>
      <c r="S201" s="313"/>
      <c r="T201" s="348"/>
      <c r="U201" s="349"/>
      <c r="V201" s="348"/>
      <c r="W201" s="349"/>
      <c r="X201" s="313"/>
      <c r="Y201" s="313"/>
      <c r="Z201" s="667"/>
      <c r="AA201" s="373"/>
      <c r="AB201" s="667"/>
      <c r="AC201" s="373"/>
      <c r="AD201" s="315"/>
      <c r="AE201" s="315"/>
      <c r="AF201" s="348"/>
      <c r="AG201" s="349"/>
      <c r="AH201" s="348"/>
      <c r="AI201" s="349"/>
      <c r="AJ201" s="313"/>
      <c r="AK201" s="313"/>
      <c r="AL201" s="667"/>
      <c r="AM201" s="373"/>
      <c r="AN201" s="667"/>
      <c r="AO201" s="373"/>
      <c r="AP201" s="315"/>
      <c r="AQ201" s="315"/>
      <c r="AR201" s="348"/>
      <c r="AS201" s="349"/>
      <c r="AT201" s="348"/>
      <c r="AU201" s="349"/>
      <c r="AV201" s="313"/>
      <c r="AW201" s="313"/>
      <c r="AX201" s="667"/>
      <c r="AY201" s="373"/>
      <c r="AZ201" s="667"/>
      <c r="BA201" s="373"/>
      <c r="BB201" s="315"/>
      <c r="BC201" s="315"/>
      <c r="BD201" s="313"/>
      <c r="BE201" s="349"/>
      <c r="BF201" s="348"/>
      <c r="BG201" s="349"/>
      <c r="BH201" s="313"/>
      <c r="BI201" s="313"/>
      <c r="BJ201" s="315"/>
      <c r="BK201" s="373"/>
      <c r="BL201" s="667"/>
      <c r="BM201" s="373"/>
      <c r="BN201" s="315"/>
      <c r="BO201" s="315"/>
      <c r="BP201" s="313"/>
      <c r="BQ201" s="349"/>
      <c r="BR201" s="313"/>
      <c r="BS201" s="349"/>
      <c r="BT201" s="313"/>
      <c r="BU201" s="313"/>
      <c r="BV201" s="315"/>
      <c r="BW201" s="373"/>
      <c r="BX201" s="315"/>
      <c r="BY201" s="373"/>
      <c r="BZ201" s="315"/>
      <c r="CA201" s="315"/>
      <c r="CB201" s="353"/>
      <c r="CC201" s="313"/>
      <c r="CD201" s="522"/>
      <c r="CE201" s="526"/>
      <c r="CF201" s="527"/>
      <c r="CG201" s="526"/>
      <c r="CH201" s="527"/>
      <c r="CI201" s="526"/>
      <c r="CJ201" s="527"/>
      <c r="CK201" s="526"/>
      <c r="CL201" s="527"/>
      <c r="CM201" s="526"/>
      <c r="CN201" s="527"/>
      <c r="CO201" s="526"/>
      <c r="CP201" s="527"/>
      <c r="CQ201" s="526"/>
      <c r="CR201" s="527"/>
      <c r="CS201" s="522"/>
      <c r="CT201" s="313"/>
      <c r="CU201" s="313"/>
      <c r="CV201" s="313"/>
      <c r="CW201" s="313"/>
      <c r="CX201" s="313"/>
      <c r="CY201" s="313"/>
      <c r="CZ201" s="313"/>
      <c r="DA201" s="313"/>
      <c r="DB201" s="313"/>
      <c r="DC201" s="313"/>
    </row>
    <row r="202" spans="1:107" s="2" customFormat="1">
      <c r="A202" s="347"/>
      <c r="B202" s="347"/>
      <c r="C202" s="268"/>
      <c r="D202" s="346"/>
      <c r="E202" s="347"/>
      <c r="F202" s="349"/>
      <c r="G202" s="349"/>
      <c r="H202" s="348"/>
      <c r="I202" s="347"/>
      <c r="J202" s="348"/>
      <c r="K202" s="349"/>
      <c r="L202" s="348"/>
      <c r="M202" s="347"/>
      <c r="N202" s="347"/>
      <c r="O202" s="313"/>
      <c r="P202" s="313"/>
      <c r="Q202" s="313"/>
      <c r="R202" s="313"/>
      <c r="S202" s="313"/>
      <c r="T202" s="348"/>
      <c r="U202" s="349"/>
      <c r="V202" s="348"/>
      <c r="W202" s="349"/>
      <c r="X202" s="313"/>
      <c r="Y202" s="313"/>
      <c r="Z202" s="667"/>
      <c r="AA202" s="373"/>
      <c r="AB202" s="667"/>
      <c r="AC202" s="373"/>
      <c r="AD202" s="315"/>
      <c r="AE202" s="315"/>
      <c r="AF202" s="348"/>
      <c r="AG202" s="349"/>
      <c r="AH202" s="348"/>
      <c r="AI202" s="349"/>
      <c r="AJ202" s="313"/>
      <c r="AK202" s="313"/>
      <c r="AL202" s="667"/>
      <c r="AM202" s="373"/>
      <c r="AN202" s="667"/>
      <c r="AO202" s="373"/>
      <c r="AP202" s="315"/>
      <c r="AQ202" s="315"/>
      <c r="AR202" s="348"/>
      <c r="AS202" s="349"/>
      <c r="AT202" s="348"/>
      <c r="AU202" s="349"/>
      <c r="AV202" s="313"/>
      <c r="AW202" s="313"/>
      <c r="AX202" s="667"/>
      <c r="AY202" s="373"/>
      <c r="AZ202" s="667"/>
      <c r="BA202" s="373"/>
      <c r="BB202" s="315"/>
      <c r="BC202" s="315"/>
      <c r="BD202" s="313"/>
      <c r="BE202" s="349"/>
      <c r="BF202" s="348"/>
      <c r="BG202" s="349"/>
      <c r="BH202" s="313"/>
      <c r="BI202" s="313"/>
      <c r="BJ202" s="315"/>
      <c r="BK202" s="373"/>
      <c r="BL202" s="667"/>
      <c r="BM202" s="373"/>
      <c r="BN202" s="315"/>
      <c r="BO202" s="315"/>
      <c r="BP202" s="313"/>
      <c r="BQ202" s="349"/>
      <c r="BR202" s="313"/>
      <c r="BS202" s="349"/>
      <c r="BT202" s="313"/>
      <c r="BU202" s="313"/>
      <c r="BV202" s="315"/>
      <c r="BW202" s="373"/>
      <c r="BX202" s="315"/>
      <c r="BY202" s="373"/>
      <c r="BZ202" s="315"/>
      <c r="CA202" s="315"/>
      <c r="CB202" s="353"/>
      <c r="CC202" s="313"/>
      <c r="CD202" s="522"/>
      <c r="CE202" s="526"/>
      <c r="CF202" s="527"/>
      <c r="CG202" s="526"/>
      <c r="CH202" s="527"/>
      <c r="CI202" s="526"/>
      <c r="CJ202" s="527"/>
      <c r="CK202" s="526"/>
      <c r="CL202" s="527"/>
      <c r="CM202" s="526"/>
      <c r="CN202" s="527"/>
      <c r="CO202" s="526"/>
      <c r="CP202" s="527"/>
      <c r="CQ202" s="526"/>
      <c r="CR202" s="527"/>
      <c r="CS202" s="522"/>
      <c r="CT202" s="313"/>
      <c r="CU202" s="313"/>
      <c r="CV202" s="313"/>
      <c r="CW202" s="313"/>
      <c r="CX202" s="313"/>
      <c r="CY202" s="313"/>
      <c r="CZ202" s="313"/>
      <c r="DA202" s="313"/>
      <c r="DB202" s="313"/>
      <c r="DC202" s="313"/>
    </row>
    <row r="203" spans="1:107" s="2" customFormat="1">
      <c r="A203" s="347"/>
      <c r="B203" s="347"/>
      <c r="C203" s="268"/>
      <c r="D203" s="346"/>
      <c r="E203" s="347"/>
      <c r="F203" s="349"/>
      <c r="G203" s="349"/>
      <c r="H203" s="348"/>
      <c r="I203" s="347"/>
      <c r="J203" s="348"/>
      <c r="K203" s="349"/>
      <c r="L203" s="348"/>
      <c r="M203" s="347"/>
      <c r="N203" s="347"/>
      <c r="O203" s="313"/>
      <c r="P203" s="313"/>
      <c r="Q203" s="313"/>
      <c r="R203" s="313"/>
      <c r="S203" s="313"/>
      <c r="T203" s="348"/>
      <c r="U203" s="349"/>
      <c r="V203" s="348"/>
      <c r="W203" s="349"/>
      <c r="X203" s="313"/>
      <c r="Y203" s="313"/>
      <c r="Z203" s="667"/>
      <c r="AA203" s="373"/>
      <c r="AB203" s="667"/>
      <c r="AC203" s="373"/>
      <c r="AD203" s="315"/>
      <c r="AE203" s="315"/>
      <c r="AF203" s="348"/>
      <c r="AG203" s="349"/>
      <c r="AH203" s="348"/>
      <c r="AI203" s="349"/>
      <c r="AJ203" s="313"/>
      <c r="AK203" s="313"/>
      <c r="AL203" s="667"/>
      <c r="AM203" s="373"/>
      <c r="AN203" s="667"/>
      <c r="AO203" s="373"/>
      <c r="AP203" s="315"/>
      <c r="AQ203" s="315"/>
      <c r="AR203" s="348"/>
      <c r="AS203" s="349"/>
      <c r="AT203" s="348"/>
      <c r="AU203" s="349"/>
      <c r="AV203" s="313"/>
      <c r="AW203" s="313"/>
      <c r="AX203" s="667"/>
      <c r="AY203" s="373"/>
      <c r="AZ203" s="667"/>
      <c r="BA203" s="373"/>
      <c r="BB203" s="315"/>
      <c r="BC203" s="315"/>
      <c r="BD203" s="313"/>
      <c r="BE203" s="349"/>
      <c r="BF203" s="348"/>
      <c r="BG203" s="349"/>
      <c r="BH203" s="313"/>
      <c r="BI203" s="313"/>
      <c r="BJ203" s="315"/>
      <c r="BK203" s="373"/>
      <c r="BL203" s="667"/>
      <c r="BM203" s="373"/>
      <c r="BN203" s="315"/>
      <c r="BO203" s="315"/>
      <c r="BP203" s="313"/>
      <c r="BQ203" s="349"/>
      <c r="BR203" s="313"/>
      <c r="BS203" s="349"/>
      <c r="BT203" s="313"/>
      <c r="BU203" s="313"/>
      <c r="BV203" s="315"/>
      <c r="BW203" s="373"/>
      <c r="BX203" s="315"/>
      <c r="BY203" s="373"/>
      <c r="BZ203" s="315"/>
      <c r="CA203" s="315"/>
      <c r="CB203" s="353"/>
      <c r="CC203" s="313"/>
      <c r="CD203" s="522"/>
      <c r="CE203" s="526"/>
      <c r="CF203" s="527"/>
      <c r="CG203" s="526"/>
      <c r="CH203" s="527"/>
      <c r="CI203" s="526"/>
      <c r="CJ203" s="527"/>
      <c r="CK203" s="526"/>
      <c r="CL203" s="527"/>
      <c r="CM203" s="526"/>
      <c r="CN203" s="527"/>
      <c r="CO203" s="526"/>
      <c r="CP203" s="527"/>
      <c r="CQ203" s="526"/>
      <c r="CR203" s="527"/>
      <c r="CS203" s="522"/>
      <c r="CT203" s="313"/>
      <c r="CU203" s="313"/>
      <c r="CV203" s="313"/>
      <c r="CW203" s="313"/>
      <c r="CX203" s="313"/>
      <c r="CY203" s="313"/>
      <c r="CZ203" s="313"/>
      <c r="DA203" s="313"/>
      <c r="DB203" s="313"/>
      <c r="DC203" s="313"/>
    </row>
    <row r="204" spans="1:107" s="2" customFormat="1">
      <c r="A204" s="347"/>
      <c r="B204" s="347"/>
      <c r="C204" s="268"/>
      <c r="D204" s="346"/>
      <c r="E204" s="347"/>
      <c r="F204" s="349"/>
      <c r="G204" s="349"/>
      <c r="H204" s="348"/>
      <c r="I204" s="347"/>
      <c r="J204" s="348"/>
      <c r="K204" s="349"/>
      <c r="L204" s="348"/>
      <c r="M204" s="347"/>
      <c r="N204" s="347"/>
      <c r="O204" s="313"/>
      <c r="P204" s="313"/>
      <c r="Q204" s="313"/>
      <c r="R204" s="313"/>
      <c r="S204" s="313"/>
      <c r="T204" s="348"/>
      <c r="U204" s="349"/>
      <c r="V204" s="348"/>
      <c r="W204" s="349"/>
      <c r="X204" s="313"/>
      <c r="Y204" s="313"/>
      <c r="Z204" s="667"/>
      <c r="AA204" s="373"/>
      <c r="AB204" s="667"/>
      <c r="AC204" s="373"/>
      <c r="AD204" s="315"/>
      <c r="AE204" s="315"/>
      <c r="AF204" s="348"/>
      <c r="AG204" s="349"/>
      <c r="AH204" s="348"/>
      <c r="AI204" s="349"/>
      <c r="AJ204" s="313"/>
      <c r="AK204" s="313"/>
      <c r="AL204" s="667"/>
      <c r="AM204" s="373"/>
      <c r="AN204" s="667"/>
      <c r="AO204" s="373"/>
      <c r="AP204" s="315"/>
      <c r="AQ204" s="315"/>
      <c r="AR204" s="348"/>
      <c r="AS204" s="349"/>
      <c r="AT204" s="348"/>
      <c r="AU204" s="349"/>
      <c r="AV204" s="313"/>
      <c r="AW204" s="313"/>
      <c r="AX204" s="667"/>
      <c r="AY204" s="373"/>
      <c r="AZ204" s="667"/>
      <c r="BA204" s="373"/>
      <c r="BB204" s="315"/>
      <c r="BC204" s="315"/>
      <c r="BD204" s="313"/>
      <c r="BE204" s="349"/>
      <c r="BF204" s="348"/>
      <c r="BG204" s="349"/>
      <c r="BH204" s="313"/>
      <c r="BI204" s="313"/>
      <c r="BJ204" s="315"/>
      <c r="BK204" s="373"/>
      <c r="BL204" s="667"/>
      <c r="BM204" s="373"/>
      <c r="BN204" s="315"/>
      <c r="BO204" s="315"/>
      <c r="BP204" s="313"/>
      <c r="BQ204" s="349"/>
      <c r="BR204" s="313"/>
      <c r="BS204" s="349"/>
      <c r="BT204" s="313"/>
      <c r="BU204" s="313"/>
      <c r="BV204" s="315"/>
      <c r="BW204" s="373"/>
      <c r="BX204" s="315"/>
      <c r="BY204" s="373"/>
      <c r="BZ204" s="315"/>
      <c r="CA204" s="315"/>
      <c r="CB204" s="353"/>
      <c r="CC204" s="313"/>
      <c r="CD204" s="522"/>
      <c r="CE204" s="526"/>
      <c r="CF204" s="527"/>
      <c r="CG204" s="526"/>
      <c r="CH204" s="527"/>
      <c r="CI204" s="526"/>
      <c r="CJ204" s="527"/>
      <c r="CK204" s="526"/>
      <c r="CL204" s="527"/>
      <c r="CM204" s="526"/>
      <c r="CN204" s="527"/>
      <c r="CO204" s="526"/>
      <c r="CP204" s="527"/>
      <c r="CQ204" s="526"/>
      <c r="CR204" s="527"/>
      <c r="CS204" s="522"/>
      <c r="CT204" s="313"/>
      <c r="CU204" s="313"/>
      <c r="CV204" s="313"/>
      <c r="CW204" s="313"/>
      <c r="CX204" s="313"/>
      <c r="CY204" s="313"/>
      <c r="CZ204" s="313"/>
      <c r="DA204" s="313"/>
      <c r="DB204" s="313"/>
      <c r="DC204" s="313"/>
    </row>
    <row r="205" spans="1:107" s="2" customFormat="1">
      <c r="A205" s="347"/>
      <c r="B205" s="347"/>
      <c r="C205" s="268"/>
      <c r="D205" s="346"/>
      <c r="E205" s="347"/>
      <c r="F205" s="349"/>
      <c r="G205" s="349"/>
      <c r="H205" s="348"/>
      <c r="I205" s="347"/>
      <c r="J205" s="348"/>
      <c r="K205" s="349"/>
      <c r="L205" s="348"/>
      <c r="M205" s="347"/>
      <c r="N205" s="347"/>
      <c r="O205" s="313"/>
      <c r="P205" s="313"/>
      <c r="Q205" s="313"/>
      <c r="R205" s="313"/>
      <c r="S205" s="313"/>
      <c r="T205" s="348"/>
      <c r="U205" s="349"/>
      <c r="V205" s="348"/>
      <c r="W205" s="349"/>
      <c r="X205" s="313"/>
      <c r="Y205" s="313"/>
      <c r="Z205" s="667"/>
      <c r="AA205" s="373"/>
      <c r="AB205" s="667"/>
      <c r="AC205" s="373"/>
      <c r="AD205" s="315"/>
      <c r="AE205" s="315"/>
      <c r="AF205" s="348"/>
      <c r="AG205" s="349"/>
      <c r="AH205" s="348"/>
      <c r="AI205" s="349"/>
      <c r="AJ205" s="313"/>
      <c r="AK205" s="313"/>
      <c r="AL205" s="667"/>
      <c r="AM205" s="373"/>
      <c r="AN205" s="667"/>
      <c r="AO205" s="373"/>
      <c r="AP205" s="315"/>
      <c r="AQ205" s="315"/>
      <c r="AR205" s="348"/>
      <c r="AS205" s="349"/>
      <c r="AT205" s="348"/>
      <c r="AU205" s="349"/>
      <c r="AV205" s="313"/>
      <c r="AW205" s="313"/>
      <c r="AX205" s="667"/>
      <c r="AY205" s="373"/>
      <c r="AZ205" s="667"/>
      <c r="BA205" s="373"/>
      <c r="BB205" s="315"/>
      <c r="BC205" s="315"/>
      <c r="BD205" s="313"/>
      <c r="BE205" s="349"/>
      <c r="BF205" s="348"/>
      <c r="BG205" s="349"/>
      <c r="BH205" s="313"/>
      <c r="BI205" s="313"/>
      <c r="BJ205" s="315"/>
      <c r="BK205" s="373"/>
      <c r="BL205" s="667"/>
      <c r="BM205" s="373"/>
      <c r="BN205" s="315"/>
      <c r="BO205" s="315"/>
      <c r="BP205" s="313"/>
      <c r="BQ205" s="349"/>
      <c r="BR205" s="313"/>
      <c r="BS205" s="349"/>
      <c r="BT205" s="313"/>
      <c r="BU205" s="313"/>
      <c r="BV205" s="315"/>
      <c r="BW205" s="373"/>
      <c r="BX205" s="315"/>
      <c r="BY205" s="373"/>
      <c r="BZ205" s="315"/>
      <c r="CA205" s="315"/>
      <c r="CB205" s="353"/>
      <c r="CC205" s="313"/>
      <c r="CD205" s="522"/>
      <c r="CE205" s="526"/>
      <c r="CF205" s="527"/>
      <c r="CG205" s="526"/>
      <c r="CH205" s="527"/>
      <c r="CI205" s="526"/>
      <c r="CJ205" s="527"/>
      <c r="CK205" s="526"/>
      <c r="CL205" s="527"/>
      <c r="CM205" s="526"/>
      <c r="CN205" s="527"/>
      <c r="CO205" s="526"/>
      <c r="CP205" s="527"/>
      <c r="CQ205" s="526"/>
      <c r="CR205" s="527"/>
      <c r="CS205" s="522"/>
      <c r="CT205" s="313"/>
      <c r="CU205" s="313"/>
      <c r="CV205" s="313"/>
      <c r="CW205" s="313"/>
      <c r="CX205" s="313"/>
      <c r="CY205" s="313"/>
      <c r="CZ205" s="313"/>
      <c r="DA205" s="313"/>
      <c r="DB205" s="313"/>
      <c r="DC205" s="313"/>
    </row>
  </sheetData>
  <dataConsolidate/>
  <mergeCells count="231">
    <mergeCell ref="T2:X2"/>
    <mergeCell ref="Z2:AD2"/>
    <mergeCell ref="AF2:AJ2"/>
    <mergeCell ref="AR2:AV2"/>
    <mergeCell ref="H73:H75"/>
    <mergeCell ref="O73:O75"/>
    <mergeCell ref="J2:O2"/>
    <mergeCell ref="AY28:AY29"/>
    <mergeCell ref="BA28:BA29"/>
    <mergeCell ref="U43:U44"/>
    <mergeCell ref="W43:W44"/>
    <mergeCell ref="I67:I68"/>
    <mergeCell ref="U67:U68"/>
    <mergeCell ref="W67:W68"/>
    <mergeCell ref="AS41:AS42"/>
    <mergeCell ref="U70:U71"/>
    <mergeCell ref="W70:W71"/>
    <mergeCell ref="AA70:AA71"/>
    <mergeCell ref="AC70:AC71"/>
    <mergeCell ref="BA67:BA68"/>
    <mergeCell ref="AI73:AI75"/>
    <mergeCell ref="AC73:AC75"/>
    <mergeCell ref="AU73:AU75"/>
    <mergeCell ref="BA73:BA75"/>
    <mergeCell ref="BE28:BE29"/>
    <mergeCell ref="A16:A18"/>
    <mergeCell ref="B16:B18"/>
    <mergeCell ref="A19:A21"/>
    <mergeCell ref="B19:B21"/>
    <mergeCell ref="A22:A24"/>
    <mergeCell ref="B22:B24"/>
    <mergeCell ref="A10:A13"/>
    <mergeCell ref="B10:B13"/>
    <mergeCell ref="AM28:AM29"/>
    <mergeCell ref="AO28:AO29"/>
    <mergeCell ref="AS28:AS29"/>
    <mergeCell ref="AU28:AU29"/>
    <mergeCell ref="A4:A6"/>
    <mergeCell ref="B4:B6"/>
    <mergeCell ref="A7:A9"/>
    <mergeCell ref="B7:B9"/>
    <mergeCell ref="AC28:AC29"/>
    <mergeCell ref="AG28:AG29"/>
    <mergeCell ref="AI28:AI29"/>
    <mergeCell ref="W28:W29"/>
    <mergeCell ref="AA28:AA29"/>
    <mergeCell ref="A25:A27"/>
    <mergeCell ref="B25:B27"/>
    <mergeCell ref="A28:A29"/>
    <mergeCell ref="B28:B29"/>
    <mergeCell ref="I28:I29"/>
    <mergeCell ref="U28:U29"/>
    <mergeCell ref="BW30:BW31"/>
    <mergeCell ref="BY30:BY31"/>
    <mergeCell ref="BG30:BG31"/>
    <mergeCell ref="BK30:BK31"/>
    <mergeCell ref="BM30:BM31"/>
    <mergeCell ref="BQ30:BQ31"/>
    <mergeCell ref="BS30:BS31"/>
    <mergeCell ref="BY28:BY29"/>
    <mergeCell ref="BG28:BG29"/>
    <mergeCell ref="BK28:BK29"/>
    <mergeCell ref="BM28:BM29"/>
    <mergeCell ref="BQ28:BQ29"/>
    <mergeCell ref="BS28:BS29"/>
    <mergeCell ref="BW28:BW29"/>
    <mergeCell ref="BE30:BE31"/>
    <mergeCell ref="AM30:AM31"/>
    <mergeCell ref="AO30:AO31"/>
    <mergeCell ref="AS30:AS31"/>
    <mergeCell ref="AU30:AU31"/>
    <mergeCell ref="AY30:AY31"/>
    <mergeCell ref="BA30:BA31"/>
    <mergeCell ref="A30:A31"/>
    <mergeCell ref="B30:B31"/>
    <mergeCell ref="I30:I31"/>
    <mergeCell ref="U30:U31"/>
    <mergeCell ref="W30:W31"/>
    <mergeCell ref="AA30:AA31"/>
    <mergeCell ref="AC30:AC31"/>
    <mergeCell ref="AG30:AG31"/>
    <mergeCell ref="AI30:AI31"/>
    <mergeCell ref="AC32:AC33"/>
    <mergeCell ref="AG32:AG33"/>
    <mergeCell ref="A35:A37"/>
    <mergeCell ref="B35:B37"/>
    <mergeCell ref="A38:A40"/>
    <mergeCell ref="B38:B40"/>
    <mergeCell ref="I41:I42"/>
    <mergeCell ref="U41:U42"/>
    <mergeCell ref="W41:W42"/>
    <mergeCell ref="AA41:AA42"/>
    <mergeCell ref="AC41:AC42"/>
    <mergeCell ref="A41:A42"/>
    <mergeCell ref="B41:B42"/>
    <mergeCell ref="A43:A44"/>
    <mergeCell ref="B43:B44"/>
    <mergeCell ref="I43:I44"/>
    <mergeCell ref="BA32:BA33"/>
    <mergeCell ref="BE32:BE33"/>
    <mergeCell ref="BG32:BG33"/>
    <mergeCell ref="BK32:BK33"/>
    <mergeCell ref="BM32:BM33"/>
    <mergeCell ref="AI32:AI33"/>
    <mergeCell ref="AM32:AM33"/>
    <mergeCell ref="AO32:AO33"/>
    <mergeCell ref="AS32:AS33"/>
    <mergeCell ref="AU32:AU33"/>
    <mergeCell ref="AY32:AY33"/>
    <mergeCell ref="AG41:AG42"/>
    <mergeCell ref="AI41:AI42"/>
    <mergeCell ref="AM41:AM42"/>
    <mergeCell ref="AO41:AO42"/>
    <mergeCell ref="A32:A33"/>
    <mergeCell ref="B32:B33"/>
    <mergeCell ref="I32:I33"/>
    <mergeCell ref="U32:U33"/>
    <mergeCell ref="W32:W33"/>
    <mergeCell ref="AA32:AA33"/>
    <mergeCell ref="AA43:AA44"/>
    <mergeCell ref="AC43:AC44"/>
    <mergeCell ref="AG43:AG44"/>
    <mergeCell ref="AI43:AI44"/>
    <mergeCell ref="AM43:AM44"/>
    <mergeCell ref="AO43:AO44"/>
    <mergeCell ref="AS43:AS44"/>
    <mergeCell ref="AU43:AU44"/>
    <mergeCell ref="AY43:AY44"/>
    <mergeCell ref="M73:M75"/>
    <mergeCell ref="A57:A62"/>
    <mergeCell ref="B57:B62"/>
    <mergeCell ref="A63:A65"/>
    <mergeCell ref="B63:B65"/>
    <mergeCell ref="A67:A68"/>
    <mergeCell ref="B67:B68"/>
    <mergeCell ref="B45:B47"/>
    <mergeCell ref="A48:A51"/>
    <mergeCell ref="B48:B51"/>
    <mergeCell ref="A52:A56"/>
    <mergeCell ref="B52:B56"/>
    <mergeCell ref="A45:A47"/>
    <mergeCell ref="A73:A75"/>
    <mergeCell ref="B73:B75"/>
    <mergeCell ref="G73:G75"/>
    <mergeCell ref="I73:I75"/>
    <mergeCell ref="A70:A71"/>
    <mergeCell ref="B70:B71"/>
    <mergeCell ref="I70:I71"/>
    <mergeCell ref="BE73:BE75"/>
    <mergeCell ref="AO73:AO75"/>
    <mergeCell ref="AI67:AI68"/>
    <mergeCell ref="AM67:AM68"/>
    <mergeCell ref="AO67:AO68"/>
    <mergeCell ref="AS67:AS68"/>
    <mergeCell ref="AU67:AU68"/>
    <mergeCell ref="AY67:AY68"/>
    <mergeCell ref="AA67:AA68"/>
    <mergeCell ref="AC67:AC68"/>
    <mergeCell ref="AG67:AG68"/>
    <mergeCell ref="BQ41:BQ42"/>
    <mergeCell ref="BA43:BA44"/>
    <mergeCell ref="BE43:BE44"/>
    <mergeCell ref="BG43:BG44"/>
    <mergeCell ref="BG73:BG75"/>
    <mergeCell ref="BQ70:BQ71"/>
    <mergeCell ref="BS70:BS71"/>
    <mergeCell ref="BW70:BW71"/>
    <mergeCell ref="U73:U75"/>
    <mergeCell ref="W73:W75"/>
    <mergeCell ref="AY70:AY71"/>
    <mergeCell ref="BA70:BA71"/>
    <mergeCell ref="BE70:BE71"/>
    <mergeCell ref="AG70:AG71"/>
    <mergeCell ref="AI70:AI71"/>
    <mergeCell ref="AM70:AM71"/>
    <mergeCell ref="AO70:AO71"/>
    <mergeCell ref="AS70:AS71"/>
    <mergeCell ref="AU70:AU71"/>
    <mergeCell ref="AA73:AA75"/>
    <mergeCell ref="AG73:AG75"/>
    <mergeCell ref="AM73:AM75"/>
    <mergeCell ref="AS73:AS75"/>
    <mergeCell ref="AY73:AY75"/>
    <mergeCell ref="BK43:BK44"/>
    <mergeCell ref="AL2:AP2"/>
    <mergeCell ref="AX2:BB2"/>
    <mergeCell ref="BD2:BH2"/>
    <mergeCell ref="BP2:BT2"/>
    <mergeCell ref="BJ2:BN2"/>
    <mergeCell ref="BV2:BZ2"/>
    <mergeCell ref="BY70:BY71"/>
    <mergeCell ref="BG70:BG71"/>
    <mergeCell ref="BK70:BK71"/>
    <mergeCell ref="BM70:BM71"/>
    <mergeCell ref="BS67:BS68"/>
    <mergeCell ref="BW67:BW68"/>
    <mergeCell ref="BY67:BY68"/>
    <mergeCell ref="BG67:BG68"/>
    <mergeCell ref="BK67:BK68"/>
    <mergeCell ref="BM67:BM68"/>
    <mergeCell ref="BQ67:BQ68"/>
    <mergeCell ref="BM43:BM44"/>
    <mergeCell ref="BQ43:BQ44"/>
    <mergeCell ref="BW41:BW42"/>
    <mergeCell ref="BS43:BS44"/>
    <mergeCell ref="BS32:BS33"/>
    <mergeCell ref="BM41:BM42"/>
    <mergeCell ref="N73:N75"/>
    <mergeCell ref="P73:P75"/>
    <mergeCell ref="Q73:Q75"/>
    <mergeCell ref="R73:R75"/>
    <mergeCell ref="BY43:BY44"/>
    <mergeCell ref="BW32:BW33"/>
    <mergeCell ref="BY32:BY33"/>
    <mergeCell ref="BQ32:BQ33"/>
    <mergeCell ref="BK73:BK75"/>
    <mergeCell ref="BQ73:BQ75"/>
    <mergeCell ref="BS73:BS75"/>
    <mergeCell ref="BW73:BW75"/>
    <mergeCell ref="BY73:BY75"/>
    <mergeCell ref="BS41:BS42"/>
    <mergeCell ref="BM73:BM75"/>
    <mergeCell ref="BY41:BY42"/>
    <mergeCell ref="AU41:AU42"/>
    <mergeCell ref="AY41:AY42"/>
    <mergeCell ref="BA41:BA42"/>
    <mergeCell ref="BE41:BE42"/>
    <mergeCell ref="BG41:BG42"/>
    <mergeCell ref="BK41:BK42"/>
    <mergeCell ref="BW43:BW44"/>
    <mergeCell ref="BE67:BE68"/>
  </mergeCells>
  <phoneticPr fontId="3" type="noConversion"/>
  <conditionalFormatting sqref="X4:X75 AD4:AD75 AJ4:AJ75 AP4:AP75 AV4:AV75 BB4:BB75 BH4:BH75 BN4:BN75 BZ4:BZ75 BT4:BT75">
    <cfRule type="cellIs" dxfId="230" priority="176" operator="lessThan">
      <formula>-0.3</formula>
    </cfRule>
    <cfRule type="cellIs" dxfId="229" priority="177" operator="greaterThan">
      <formula>0.3</formula>
    </cfRule>
  </conditionalFormatting>
  <conditionalFormatting sqref="U4 AG4 AS4 BE4 BQ4 BW4 BK4 AY4 AM4 AA4 W4 AC4 AI4 AO4 AU4 BA4 BG4 BM4 BS4 BY4 U10 W10">
    <cfRule type="cellIs" dxfId="228" priority="175" operator="notEqual">
      <formula>$I$4</formula>
    </cfRule>
  </conditionalFormatting>
  <conditionalFormatting sqref="U7 AA7 AG7 AM7 AS7 AY7 BE7 BK7 BQ7 BW7 W7 AC7 AI7 AO7 AU7 BA7 BG7 BM7 BS7 BY7">
    <cfRule type="cellIs" dxfId="227" priority="174" operator="notEqual">
      <formula>$I$7</formula>
    </cfRule>
  </conditionalFormatting>
  <conditionalFormatting sqref="U10 AA10 AG10 AM10 AS10 AY10 BE10 BK10 BQ10 BW10 AC10 AI10 AU10 BA10 BG10 BM10 BS10 BY10 AO10 W10">
    <cfRule type="cellIs" dxfId="226" priority="173" operator="notEqual">
      <formula>$I$10</formula>
    </cfRule>
  </conditionalFormatting>
  <conditionalFormatting sqref="U16 AA16 AG16 AM16 AS16 AY16 BE16 BK16 BQ16 BW16 W16 AC16 AI16 AO16 AU16 BA16 BG16 BM16 BS16 BY16">
    <cfRule type="cellIs" dxfId="225" priority="172" operator="notEqual">
      <formula>$I$16</formula>
    </cfRule>
  </conditionalFormatting>
  <conditionalFormatting sqref="U19 AA19 AG19 AM19 AS19 AY19 BE19 BK19 BQ19 BW19 W19 AC19 AI19 AO19 AU19 BA19 BG19 BM19 BS19 BY19">
    <cfRule type="cellIs" dxfId="224" priority="171" operator="notEqual">
      <formula>$I$19</formula>
    </cfRule>
  </conditionalFormatting>
  <conditionalFormatting sqref="U22 AA22 AG22 AM22 AS22 AY22 BE22 BK22 BQ22 BW22 W22 AC22 AI22 AO22 AU22 BA22 BG22 BM22 BS22 BY22">
    <cfRule type="cellIs" dxfId="223" priority="170" operator="notEqual">
      <formula>$I$22</formula>
    </cfRule>
  </conditionalFormatting>
  <conditionalFormatting sqref="U28:U29 AA28:AA29 AG28:AG29 AM28:AM29 AS28:AS29 AY28:AY29 BE28:BE29 BK28:BK29 BQ28:BQ29 BG28:BG29 W28:W29 BS28:BS29 BW28 AO28:AO29 BA28:BA29 AI28:AI29 AC28:AC29 BY28 BM28:BM29">
    <cfRule type="cellIs" dxfId="222" priority="169" operator="notEqual">
      <formula>$I$28</formula>
    </cfRule>
  </conditionalFormatting>
  <conditionalFormatting sqref="U30:U33 AA30:AA33 AG30:AG33 AM30:AM33 AS30:AS33 AY30:AY33 BE30:BE33 BK30:BK33 BQ30:BQ33 BW30:BW33 W30:W33 AC30:AC33 AI30:AI33 AO30:AO33 AU30:AU33 BA30:BA33 BG30:BG33 BM30:BM33 BS30:BS33 BY30:BY33">
    <cfRule type="cellIs" dxfId="221" priority="168" operator="notEqual">
      <formula>$I$30</formula>
    </cfRule>
  </conditionalFormatting>
  <conditionalFormatting sqref="U35 AA35 AG35 AM35 AS35 AY35 BE35 BK35 BQ35 BW35 AA38 W35 AC35 AC38 AI35 AO35 AU35 BA35 BG35 BM35 BS35 BY35">
    <cfRule type="cellIs" dxfId="220" priority="167" operator="notEqual">
      <formula>$I$35</formula>
    </cfRule>
  </conditionalFormatting>
  <conditionalFormatting sqref="U38 AA38 AG38 AM38 AS38 AY38 BE38 BK38 BQ38 BW38 W38 AC38 AI38 AO38 AU38 BA38 BG38 BM38 BS38 BY38">
    <cfRule type="cellIs" dxfId="219" priority="165" operator="notEqual">
      <formula>$I$38</formula>
    </cfRule>
    <cfRule type="cellIs" dxfId="218" priority="166" operator="notEqual">
      <formula>$I$35</formula>
    </cfRule>
  </conditionalFormatting>
  <conditionalFormatting sqref="U41:U42 AA41:AA42 AG41:AG42 AM41:AM42 AS41:AS42 AY41:AY42 BE41:BE42 BK41:BK42 BQ41:BQ42 BW41:BW42 W41:W42 AC41:AC42 AO41:AO42 AU41:AU42 BA41:BA42 BG41:BG42 BM41:BM42 BS41:BS42 BY41:BY42 AI41:AI42">
    <cfRule type="cellIs" dxfId="217" priority="164" operator="notEqual">
      <formula>$I$41</formula>
    </cfRule>
  </conditionalFormatting>
  <conditionalFormatting sqref="U43:U44 AA43:AA44 AG43:AG44 AM43:AM44 AS43:AS44 AY43:AY44 BE43:BE44 BK43:BK44 BQ43:BQ44 BW43:BW44 W43:W44 AC43:AC44 AI43:AI44 AO43:AO44 AU43:AU44 BA43:BA44 BG43:BG44 BM43:BM44 BS43:BS44 BY43:BY44">
    <cfRule type="cellIs" dxfId="216" priority="163" operator="notEqual">
      <formula>$I$43</formula>
    </cfRule>
  </conditionalFormatting>
  <conditionalFormatting sqref="U45 AA45 AG45 AM45 AS45 AY45 BE45 BK45 BQ45 BW45 W45 AC45 AI45 AO45 AU45 BA45 BG45 BM45 BS45 BY45">
    <cfRule type="cellIs" dxfId="215" priority="162" operator="notEqual">
      <formula>$I$45</formula>
    </cfRule>
  </conditionalFormatting>
  <conditionalFormatting sqref="U48 AA48 AG48 AM48 AS48 AY48 BE48 BK48 BQ48 BW48 W48 AC48 AI48 AO48 AU48 BA48 BG48 BM48 BS48 BY48">
    <cfRule type="cellIs" dxfId="214" priority="161" operator="notEqual">
      <formula>$I$48</formula>
    </cfRule>
  </conditionalFormatting>
  <conditionalFormatting sqref="U52 AA52 AG52 AM52 AS52 AY52 BE52 BK52 BQ52 BW52 BY52 AC52 BS52 BM52 AU52 BA52 AO52">
    <cfRule type="cellIs" dxfId="213" priority="160" operator="notEqual">
      <formula>$I$52</formula>
    </cfRule>
  </conditionalFormatting>
  <conditionalFormatting sqref="U57 AA57 AG57 AM57 AS57 AY57 BE57 BK57 BQ57 BW57 W57 AC57 AI57 AO57 AU57 BA57 BG57 BM57 BS57 BY57">
    <cfRule type="cellIs" dxfId="212" priority="159" operator="notEqual">
      <formula>$I$57</formula>
    </cfRule>
  </conditionalFormatting>
  <conditionalFormatting sqref="U63 AA63 AG63 AM63 AS63 AY63 BE63 BK63 BQ63 BW63 W63 AC63 AI63 AO63 AU63 BA63 BG63 BM63 BS63 BY63">
    <cfRule type="cellIs" dxfId="211" priority="158" operator="notEqual">
      <formula>$I$63</formula>
    </cfRule>
  </conditionalFormatting>
  <conditionalFormatting sqref="U67:U68 AA67:AA68 AG67:AG68 AM67:AM68 AS67:AS68 AY67:AY68 BE67:BE68 BK67:BK68 BQ67:BQ68 BW67:BW68 W67:W68 AC67:AC68 AI67:AI68 AO67:AO68 AU67:AU68 BG67:BG68 BM67:BM68 BS67:BS68 BY67:BY68 BA67:BA68">
    <cfRule type="cellIs" dxfId="210" priority="157" operator="notEqual">
      <formula>$I$67</formula>
    </cfRule>
  </conditionalFormatting>
  <conditionalFormatting sqref="U70:U71 AA70:AA71 AG70:AG71 AM70:AM71 AS70:AS71 AY70:AY71 BE70:BE71 BK70:BK71 BQ70:BQ71 BW70:BW71 W70:W71 AC70:AC71 AI70:AI71 AO70:AO71 AU70:AU71 BA70:BA71 BG70:BG71 BM70:BM71 BS70:BS71 BY70:BY71">
    <cfRule type="cellIs" dxfId="209" priority="156" operator="notEqual">
      <formula>$I$70</formula>
    </cfRule>
  </conditionalFormatting>
  <conditionalFormatting sqref="U14 AA14 AG14 AM14 AS14 AY14 BE14 BK14 BQ14 BW14">
    <cfRule type="cellIs" dxfId="208" priority="155" operator="notEqual">
      <formula>3</formula>
    </cfRule>
  </conditionalFormatting>
  <conditionalFormatting sqref="X4:X75 AD4:AD75 AJ4:AJ75 AP4:AP75 AV4:AV75 BB4:BB75 BH4:BH75 BN4:BN75 BZ4:BZ75 BT4:BT75">
    <cfRule type="cellIs" dxfId="207" priority="153" stopIfTrue="1" operator="lessThanOrEqual">
      <formula>-0.3</formula>
    </cfRule>
    <cfRule type="cellIs" dxfId="206" priority="154" stopIfTrue="1" operator="greaterThanOrEqual">
      <formula>0.3</formula>
    </cfRule>
  </conditionalFormatting>
  <conditionalFormatting sqref="O5:R68">
    <cfRule type="expression" dxfId="205" priority="23">
      <formula>$I5&gt;$M5</formula>
    </cfRule>
  </conditionalFormatting>
  <conditionalFormatting sqref="O70:R73">
    <cfRule type="expression" dxfId="204" priority="22">
      <formula>$I70&gt;$M70</formula>
    </cfRule>
  </conditionalFormatting>
  <conditionalFormatting sqref="O4">
    <cfRule type="expression" dxfId="203" priority="15">
      <formula>$I4&gt;$M4</formula>
    </cfRule>
  </conditionalFormatting>
  <conditionalFormatting sqref="P4:R4 R5:R68 R70:R73">
    <cfRule type="expression" dxfId="202" priority="14">
      <formula>$I4&gt;$M4</formula>
    </cfRule>
  </conditionalFormatting>
  <conditionalFormatting sqref="Q5:Q68 Q70:Q75">
    <cfRule type="expression" dxfId="201" priority="13">
      <formula>$I5&gt;$M5</formula>
    </cfRule>
  </conditionalFormatting>
  <conditionalFormatting sqref="R5:R68 R70:R72">
    <cfRule type="expression" dxfId="200" priority="12">
      <formula>$I5&gt;$M5</formula>
    </cfRule>
  </conditionalFormatting>
  <conditionalFormatting sqref="N5:N73 N76">
    <cfRule type="cellIs" dxfId="199" priority="6" stopIfTrue="1" operator="lessThan">
      <formula>0</formula>
    </cfRule>
    <cfRule type="cellIs" dxfId="198" priority="7" operator="greaterThan">
      <formula>0</formula>
    </cfRule>
  </conditionalFormatting>
  <conditionalFormatting sqref="N5:N73">
    <cfRule type="cellIs" dxfId="197" priority="4" operator="lessThan">
      <formula>0</formula>
    </cfRule>
    <cfRule type="cellIs" dxfId="196" priority="5" stopIfTrue="1" operator="greaterThan">
      <formula>0</formula>
    </cfRule>
  </conditionalFormatting>
  <conditionalFormatting sqref="N4:N73">
    <cfRule type="cellIs" dxfId="195" priority="8" operator="lessThan">
      <formula>0</formula>
    </cfRule>
    <cfRule type="cellIs" dxfId="194" priority="10" operator="greaterThan">
      <formula>0</formula>
    </cfRule>
  </conditionalFormatting>
  <conditionalFormatting sqref="AU28:AU29">
    <cfRule type="cellIs" dxfId="193" priority="3" operator="notEqual">
      <formula>$I$28</formula>
    </cfRule>
  </conditionalFormatting>
  <conditionalFormatting sqref="AO73:AO75">
    <cfRule type="cellIs" dxfId="192" priority="2" operator="notEqual">
      <formula>$I$52</formula>
    </cfRule>
  </conditionalFormatting>
  <conditionalFormatting sqref="BG52">
    <cfRule type="cellIs" dxfId="191" priority="1" operator="notEqual">
      <formula>$I$52</formula>
    </cfRule>
  </conditionalFormatting>
  <dataValidations count="5">
    <dataValidation type="list" allowBlank="1" showInputMessage="1" showErrorMessage="1" sqref="BX66 BV66">
      <formula1>$S$66:$T$66</formula1>
    </dataValidation>
    <dataValidation type="list" allowBlank="1" showInputMessage="1" showErrorMessage="1" sqref="A72:B72">
      <formula1>$S$72:$S$72</formula1>
    </dataValidation>
    <dataValidation type="list" allowBlank="1" showInputMessage="1" showErrorMessage="1" sqref="A66:B66">
      <formula1>$S$66:$S$66</formula1>
    </dataValidation>
    <dataValidation type="list" allowBlank="1" showInputMessage="1" showErrorMessage="1" sqref="A34:B34">
      <formula1>$S$34:$S$34</formula1>
    </dataValidation>
    <dataValidation type="list" allowBlank="1" showInputMessage="1" showErrorMessage="1" sqref="A15:B15">
      <formula1>$S$15:$S$15</formula1>
    </dataValidation>
  </dataValidations>
  <hyperlinks>
    <hyperlink ref="D88" location="权重!A1" display="权重!A1"/>
    <hyperlink ref="D89" location="目录!A1" display="目录!A1"/>
  </hyperlinks>
  <pageMargins left="0.7" right="0.7" top="0.75" bottom="0.75" header="0.3" footer="0.3"/>
  <pageSetup paperSize="9" orientation="portrait" horizontalDpi="4294967295" verticalDpi="4294967295" r:id="rId1"/>
  <legacyDrawing r:id="rId2"/>
</worksheet>
</file>

<file path=xl/worksheets/sheet14.xml><?xml version="1.0" encoding="utf-8"?>
<worksheet xmlns="http://schemas.openxmlformats.org/spreadsheetml/2006/main" xmlns:r="http://schemas.openxmlformats.org/officeDocument/2006/relationships">
  <sheetPr>
    <tabColor theme="6"/>
  </sheetPr>
  <dimension ref="A1:CJ205"/>
  <sheetViews>
    <sheetView workbookViewId="0">
      <pane xSplit="18" ySplit="3" topLeftCell="S4" activePane="bottomRight" state="frozenSplit"/>
      <selection activeCell="C1" sqref="C1"/>
      <selection pane="topRight" activeCell="X1" sqref="X1"/>
      <selection pane="bottomLeft" activeCell="C8" sqref="C8"/>
      <selection pane="bottomRight" activeCell="A3" sqref="A3:XFD3"/>
    </sheetView>
  </sheetViews>
  <sheetFormatPr defaultColWidth="9" defaultRowHeight="16.5" outlineLevelCol="3"/>
  <cols>
    <col min="1" max="1" width="11" style="25" hidden="1" customWidth="1" outlineLevel="3"/>
    <col min="2" max="2" width="35.25" style="25" hidden="1" customWidth="1" outlineLevel="1"/>
    <col min="3" max="3" width="4.625" style="280" customWidth="1" collapsed="1"/>
    <col min="4" max="4" width="35.375" style="19" customWidth="1"/>
    <col min="5" max="5" width="17.5" style="25" customWidth="1" outlineLevel="1"/>
    <col min="6" max="6" width="7.5" style="94" customWidth="1" outlineLevel="2"/>
    <col min="7" max="7" width="10.5" style="94" customWidth="1" outlineLevel="2"/>
    <col min="8" max="8" width="10.5" style="24" customWidth="1" outlineLevel="1"/>
    <col min="9" max="9" width="6.25" style="25" customWidth="1"/>
    <col min="10" max="10" width="11" style="25" hidden="1" customWidth="1" outlineLevel="1"/>
    <col min="11" max="11" width="8.625" style="95" hidden="1" customWidth="1" outlineLevel="1"/>
    <col min="12" max="12" width="11.125" style="25" hidden="1" customWidth="1" outlineLevel="1"/>
    <col min="13" max="13" width="8.625" style="95" hidden="1" customWidth="1" outlineLevel="1"/>
    <col min="14" max="14" width="7.375" style="25" hidden="1" customWidth="1" outlineLevel="1"/>
    <col min="15" max="15" width="7.5" style="95" hidden="1" customWidth="1" outlineLevel="1"/>
    <col min="16" max="16" width="6.5" style="312" hidden="1" customWidth="1" outlineLevel="1"/>
    <col min="17" max="17" width="7.5" style="312" hidden="1" customWidth="1" outlineLevel="1"/>
    <col min="18" max="18" width="9.25" style="312" customWidth="1" collapsed="1"/>
    <col min="19" max="19" width="4.375" style="25" customWidth="1"/>
    <col min="20" max="20" width="11.25" style="19" hidden="1" customWidth="1" outlineLevel="2"/>
    <col min="21" max="21" width="7.75" style="19" hidden="1" customWidth="1" outlineLevel="2"/>
    <col min="22" max="22" width="11.5" style="19" customWidth="1" collapsed="1"/>
    <col min="23" max="23" width="7.875" style="19" customWidth="1"/>
    <col min="24" max="24" width="9.25" style="18" bestFit="1" customWidth="1"/>
    <col min="25" max="25" width="4.75" style="18" customWidth="1"/>
    <col min="26" max="26" width="7.875" style="19" customWidth="1" outlineLevel="1"/>
    <col min="27" max="27" width="8.25" style="19" customWidth="1" outlineLevel="1"/>
    <col min="28" max="28" width="11.875" style="19" customWidth="1"/>
    <col min="29" max="29" width="7.5" style="19" customWidth="1"/>
    <col min="30" max="30" width="8.625" style="18" customWidth="1"/>
    <col min="31" max="31" width="4.5" style="18" customWidth="1"/>
    <col min="32" max="32" width="13" style="19" customWidth="1" outlineLevel="1"/>
    <col min="33" max="33" width="16.375" style="19" customWidth="1" outlineLevel="1"/>
    <col min="34" max="34" width="13" style="19" customWidth="1"/>
    <col min="35" max="35" width="8.125" style="19" customWidth="1"/>
    <col min="36" max="36" width="8.625" style="18" customWidth="1"/>
    <col min="37" max="37" width="4.625" style="18" customWidth="1"/>
    <col min="38" max="38" width="13" style="19" hidden="1" customWidth="1" outlineLevel="1"/>
    <col min="39" max="39" width="8.625" style="19" hidden="1" customWidth="1" outlineLevel="1"/>
    <col min="40" max="40" width="13" style="19" customWidth="1" collapsed="1"/>
    <col min="41" max="41" width="8.625" style="19" customWidth="1"/>
    <col min="42" max="42" width="8.625" style="18" customWidth="1"/>
    <col min="43" max="43" width="4.125" style="18" customWidth="1"/>
    <col min="44" max="44" width="13" style="19" hidden="1" customWidth="1" outlineLevel="1"/>
    <col min="45" max="45" width="8.625" style="19" hidden="1" customWidth="1" outlineLevel="1"/>
    <col min="46" max="46" width="13" style="19" customWidth="1" collapsed="1"/>
    <col min="47" max="47" width="8.625" style="19" customWidth="1"/>
    <col min="48" max="48" width="8.625" style="18" customWidth="1"/>
    <col min="49" max="49" width="4.625" style="18" customWidth="1"/>
    <col min="50" max="50" width="13" style="19" hidden="1" customWidth="1" outlineLevel="1"/>
    <col min="51" max="51" width="8.625" style="19" hidden="1" customWidth="1" outlineLevel="1"/>
    <col min="52" max="52" width="13" style="19" customWidth="1" collapsed="1"/>
    <col min="53" max="53" width="8.625" style="19" customWidth="1"/>
    <col min="54" max="54" width="8.625" style="18" customWidth="1"/>
    <col min="55" max="55" width="4.875" style="18" customWidth="1"/>
    <col min="56" max="56" width="11.5" style="19" hidden="1" customWidth="1" outlineLevel="1"/>
    <col min="57" max="57" width="8.625" style="19" hidden="1" customWidth="1" outlineLevel="1"/>
    <col min="58" max="58" width="11.5" style="19" customWidth="1" collapsed="1"/>
    <col min="59" max="59" width="8.625" style="19" customWidth="1"/>
    <col min="60" max="60" width="8.625" style="18" customWidth="1"/>
    <col min="61" max="61" width="4.625" style="18" customWidth="1"/>
    <col min="62" max="62" width="13" style="19" hidden="1" customWidth="1" outlineLevel="1"/>
    <col min="63" max="63" width="8.625" style="19" hidden="1" customWidth="1" outlineLevel="1"/>
    <col min="64" max="64" width="13" style="19" customWidth="1" collapsed="1"/>
    <col min="65" max="65" width="8.625" style="19" customWidth="1"/>
    <col min="66" max="66" width="8.625" style="18" customWidth="1"/>
    <col min="67" max="67" width="4.75" style="18" customWidth="1"/>
    <col min="68" max="68" width="11.5" style="19" hidden="1" customWidth="1" outlineLevel="1"/>
    <col min="69" max="69" width="8.625" style="19" hidden="1" customWidth="1" outlineLevel="1"/>
    <col min="70" max="70" width="11.5" style="19" customWidth="1" collapsed="1"/>
    <col min="71" max="71" width="8.625" style="19" customWidth="1"/>
    <col min="72" max="72" width="8.625" style="18" customWidth="1"/>
    <col min="73" max="73" width="4.5" style="18" customWidth="1"/>
    <col min="74" max="74" width="13" style="19" hidden="1" customWidth="1" outlineLevel="1"/>
    <col min="75" max="75" width="8.625" style="19" hidden="1" customWidth="1" outlineLevel="1"/>
    <col min="76" max="76" width="13" style="19" customWidth="1" collapsed="1"/>
    <col min="77" max="77" width="8.625" style="19" customWidth="1"/>
    <col min="78" max="78" width="8.625" style="18" customWidth="1"/>
    <col min="79" max="79" width="9.625" style="19" customWidth="1"/>
    <col min="80" max="81" width="8.875" style="19" customWidth="1"/>
    <col min="82" max="82" width="8.875" style="421" customWidth="1" outlineLevel="1"/>
    <col min="83" max="83" width="9" style="421" customWidth="1" outlineLevel="1"/>
    <col min="84" max="84" width="8.875" style="421" customWidth="1" outlineLevel="1"/>
    <col min="85" max="85" width="9" style="421" customWidth="1" outlineLevel="1"/>
    <col min="86" max="86" width="8.875" style="421" customWidth="1" outlineLevel="1"/>
    <col min="87" max="87" width="10.875" style="19" customWidth="1"/>
    <col min="88" max="16384" width="9" style="19"/>
  </cols>
  <sheetData>
    <row r="1" spans="1:88" s="1" customFormat="1">
      <c r="A1" s="508"/>
      <c r="B1" s="47"/>
      <c r="C1" s="506" t="s">
        <v>1331</v>
      </c>
      <c r="D1" s="507"/>
      <c r="E1" s="47"/>
      <c r="F1" s="126"/>
      <c r="G1" s="126"/>
      <c r="H1" s="126"/>
      <c r="I1" s="47"/>
      <c r="J1" s="47"/>
      <c r="K1" s="47"/>
      <c r="L1" s="308" t="s">
        <v>2009</v>
      </c>
      <c r="M1" s="47"/>
      <c r="N1" s="308"/>
      <c r="O1" s="47"/>
      <c r="P1" s="311"/>
      <c r="Q1" s="311"/>
      <c r="R1" s="311"/>
      <c r="S1" s="47"/>
      <c r="X1" s="2"/>
      <c r="Y1" s="2"/>
      <c r="Z1" s="19"/>
      <c r="AA1" s="19"/>
      <c r="AB1" s="19"/>
      <c r="AC1" s="19"/>
      <c r="AD1" s="18"/>
      <c r="AE1" s="18"/>
      <c r="AJ1" s="2"/>
      <c r="AK1" s="2"/>
      <c r="AL1" s="19"/>
      <c r="AM1" s="19"/>
      <c r="AN1" s="19"/>
      <c r="AO1" s="19"/>
      <c r="AP1" s="18"/>
      <c r="AQ1" s="18"/>
      <c r="AV1" s="2"/>
      <c r="AW1" s="2"/>
      <c r="AX1" s="19"/>
      <c r="AY1" s="19"/>
      <c r="AZ1" s="19"/>
      <c r="BA1" s="19"/>
      <c r="BB1" s="18"/>
      <c r="BC1" s="18"/>
      <c r="BH1" s="2"/>
      <c r="BI1" s="2"/>
      <c r="BJ1" s="19"/>
      <c r="BK1" s="19"/>
      <c r="BL1" s="19"/>
      <c r="BM1" s="19"/>
      <c r="BN1" s="18"/>
      <c r="BO1" s="18"/>
      <c r="BT1" s="2"/>
      <c r="BU1" s="2"/>
      <c r="BV1" s="19"/>
      <c r="BW1" s="19"/>
      <c r="BX1" s="19"/>
      <c r="BY1" s="19"/>
      <c r="BZ1" s="18"/>
      <c r="CA1" s="19"/>
      <c r="CD1" s="421"/>
      <c r="CE1" s="421"/>
      <c r="CF1" s="421"/>
      <c r="CG1" s="421"/>
      <c r="CH1" s="421"/>
    </row>
    <row r="2" spans="1:88" s="1" customFormat="1" ht="16.5" customHeight="1">
      <c r="A2" s="38"/>
      <c r="B2" s="47"/>
      <c r="E2" s="47"/>
      <c r="F2" s="126"/>
      <c r="G2" s="126"/>
      <c r="H2" s="126"/>
      <c r="J2" s="1581" t="s">
        <v>1816</v>
      </c>
      <c r="K2" s="1582"/>
      <c r="L2" s="1582"/>
      <c r="M2" s="1582"/>
      <c r="N2" s="1582"/>
      <c r="O2" s="1582"/>
      <c r="P2" s="513"/>
      <c r="Q2" s="821"/>
      <c r="R2" s="821"/>
      <c r="S2" s="519"/>
      <c r="T2" s="1596" t="s">
        <v>1186</v>
      </c>
      <c r="U2" s="1597"/>
      <c r="V2" s="1597"/>
      <c r="W2" s="1597"/>
      <c r="X2" s="1598"/>
      <c r="Y2" s="567"/>
      <c r="Z2" s="1596" t="s">
        <v>1187</v>
      </c>
      <c r="AA2" s="1597"/>
      <c r="AB2" s="1597"/>
      <c r="AC2" s="1597"/>
      <c r="AD2" s="1598"/>
      <c r="AE2" s="627"/>
      <c r="AF2" s="1596" t="s">
        <v>1188</v>
      </c>
      <c r="AG2" s="1597"/>
      <c r="AH2" s="1597"/>
      <c r="AI2" s="1597"/>
      <c r="AJ2" s="1598"/>
      <c r="AK2" s="627"/>
      <c r="AL2" s="1596" t="s">
        <v>1189</v>
      </c>
      <c r="AM2" s="1597"/>
      <c r="AN2" s="1597"/>
      <c r="AO2" s="1597"/>
      <c r="AP2" s="1598"/>
      <c r="AQ2" s="627"/>
      <c r="AR2" s="1596" t="s">
        <v>1190</v>
      </c>
      <c r="AS2" s="1597"/>
      <c r="AT2" s="1597"/>
      <c r="AU2" s="1597"/>
      <c r="AV2" s="1598"/>
      <c r="AW2" s="627"/>
      <c r="AX2" s="1596" t="s">
        <v>1191</v>
      </c>
      <c r="AY2" s="1597"/>
      <c r="AZ2" s="1597"/>
      <c r="BA2" s="1597"/>
      <c r="BB2" s="1598"/>
      <c r="BC2" s="627"/>
      <c r="BD2" s="1596" t="s">
        <v>1192</v>
      </c>
      <c r="BE2" s="1597"/>
      <c r="BF2" s="1597"/>
      <c r="BG2" s="1597"/>
      <c r="BH2" s="1598"/>
      <c r="BI2" s="627"/>
      <c r="BJ2" s="1596" t="s">
        <v>1193</v>
      </c>
      <c r="BK2" s="1597"/>
      <c r="BL2" s="1597"/>
      <c r="BM2" s="1597"/>
      <c r="BN2" s="1598"/>
      <c r="BO2" s="627"/>
      <c r="BP2" s="1596" t="s">
        <v>1194</v>
      </c>
      <c r="BQ2" s="1597"/>
      <c r="BR2" s="1597"/>
      <c r="BS2" s="1597"/>
      <c r="BT2" s="1598"/>
      <c r="BU2" s="627"/>
      <c r="BV2" s="1596" t="s">
        <v>1195</v>
      </c>
      <c r="BW2" s="1597"/>
      <c r="BX2" s="1597"/>
      <c r="BY2" s="1597"/>
      <c r="BZ2" s="1597"/>
      <c r="CA2" s="19"/>
      <c r="CD2" s="421"/>
      <c r="CE2" s="421" t="s">
        <v>1196</v>
      </c>
      <c r="CF2" s="421"/>
      <c r="CG2" s="421"/>
      <c r="CH2" s="421"/>
    </row>
    <row r="3" spans="1:88" s="2" customFormat="1" ht="17.25" customHeight="1">
      <c r="A3" s="16" t="s">
        <v>1199</v>
      </c>
      <c r="B3" s="90" t="s">
        <v>1200</v>
      </c>
      <c r="C3" s="273" t="s">
        <v>1197</v>
      </c>
      <c r="D3" s="274" t="s">
        <v>1198</v>
      </c>
      <c r="E3" s="274" t="s">
        <v>1815</v>
      </c>
      <c r="F3" s="274" t="s">
        <v>1201</v>
      </c>
      <c r="G3" s="274" t="s">
        <v>481</v>
      </c>
      <c r="H3" s="274" t="s">
        <v>745</v>
      </c>
      <c r="I3" s="274" t="s">
        <v>584</v>
      </c>
      <c r="J3" s="67" t="s">
        <v>1707</v>
      </c>
      <c r="K3" s="67" t="s">
        <v>1708</v>
      </c>
      <c r="L3" s="674" t="s">
        <v>1811</v>
      </c>
      <c r="M3" s="67" t="s">
        <v>1822</v>
      </c>
      <c r="N3" s="67" t="s">
        <v>1203</v>
      </c>
      <c r="O3" s="67" t="s">
        <v>554</v>
      </c>
      <c r="P3" s="67" t="s">
        <v>1946</v>
      </c>
      <c r="Q3" s="831" t="s">
        <v>1947</v>
      </c>
      <c r="R3" s="831" t="s">
        <v>1948</v>
      </c>
      <c r="S3" s="563"/>
      <c r="T3" s="67" t="str">
        <f>J3</f>
        <v>Q1</v>
      </c>
      <c r="U3" s="67" t="str">
        <f>K3</f>
        <v>Q1得分</v>
      </c>
      <c r="V3" s="674" t="str">
        <f>L3</f>
        <v>Q2</v>
      </c>
      <c r="W3" s="67" t="str">
        <f>M3</f>
        <v>Q2得分</v>
      </c>
      <c r="X3" s="67" t="s">
        <v>1202</v>
      </c>
      <c r="Y3" s="675"/>
      <c r="Z3" s="67" t="str">
        <f>T3</f>
        <v>Q1</v>
      </c>
      <c r="AA3" s="67" t="str">
        <f>U3</f>
        <v>Q1得分</v>
      </c>
      <c r="AB3" s="674" t="str">
        <f>V3</f>
        <v>Q2</v>
      </c>
      <c r="AC3" s="67" t="str">
        <f>W3</f>
        <v>Q2得分</v>
      </c>
      <c r="AD3" s="67" t="s">
        <v>1202</v>
      </c>
      <c r="AE3" s="67"/>
      <c r="AF3" s="67" t="str">
        <f>Z3</f>
        <v>Q1</v>
      </c>
      <c r="AG3" s="67" t="str">
        <f>AA3</f>
        <v>Q1得分</v>
      </c>
      <c r="AH3" s="674" t="str">
        <f>AB3</f>
        <v>Q2</v>
      </c>
      <c r="AI3" s="67" t="str">
        <f>AC3</f>
        <v>Q2得分</v>
      </c>
      <c r="AJ3" s="67" t="s">
        <v>1202</v>
      </c>
      <c r="AK3" s="67"/>
      <c r="AL3" s="67" t="str">
        <f>AF3</f>
        <v>Q1</v>
      </c>
      <c r="AM3" s="67" t="str">
        <f>AG3</f>
        <v>Q1得分</v>
      </c>
      <c r="AN3" s="674" t="str">
        <f>AH3</f>
        <v>Q2</v>
      </c>
      <c r="AO3" s="67" t="str">
        <f>AI3</f>
        <v>Q2得分</v>
      </c>
      <c r="AP3" s="67" t="s">
        <v>1202</v>
      </c>
      <c r="AQ3" s="67"/>
      <c r="AR3" s="67" t="str">
        <f>AL3</f>
        <v>Q1</v>
      </c>
      <c r="AS3" s="67" t="str">
        <f>AM3</f>
        <v>Q1得分</v>
      </c>
      <c r="AT3" s="674" t="str">
        <f>AN3</f>
        <v>Q2</v>
      </c>
      <c r="AU3" s="67" t="str">
        <f>AO3</f>
        <v>Q2得分</v>
      </c>
      <c r="AV3" s="67" t="s">
        <v>1809</v>
      </c>
      <c r="AW3" s="67"/>
      <c r="AX3" s="67" t="str">
        <f>AR3</f>
        <v>Q1</v>
      </c>
      <c r="AY3" s="67" t="str">
        <f>AS3</f>
        <v>Q1得分</v>
      </c>
      <c r="AZ3" s="674" t="str">
        <f>AT3</f>
        <v>Q2</v>
      </c>
      <c r="BA3" s="67" t="str">
        <f>AU3</f>
        <v>Q2得分</v>
      </c>
      <c r="BB3" s="67" t="s">
        <v>1202</v>
      </c>
      <c r="BC3" s="67"/>
      <c r="BD3" s="67" t="str">
        <f>AX3</f>
        <v>Q1</v>
      </c>
      <c r="BE3" s="67" t="str">
        <f>AY3</f>
        <v>Q1得分</v>
      </c>
      <c r="BF3" s="674" t="str">
        <f>AZ3</f>
        <v>Q2</v>
      </c>
      <c r="BG3" s="67" t="str">
        <f>BA3</f>
        <v>Q2得分</v>
      </c>
      <c r="BH3" s="67" t="s">
        <v>1202</v>
      </c>
      <c r="BI3" s="67"/>
      <c r="BJ3" s="67" t="str">
        <f>BD3</f>
        <v>Q1</v>
      </c>
      <c r="BK3" s="67" t="str">
        <f>BE3</f>
        <v>Q1得分</v>
      </c>
      <c r="BL3" s="674" t="str">
        <f>BF3</f>
        <v>Q2</v>
      </c>
      <c r="BM3" s="67" t="str">
        <f>BG3</f>
        <v>Q2得分</v>
      </c>
      <c r="BN3" s="67" t="s">
        <v>1202</v>
      </c>
      <c r="BO3" s="67"/>
      <c r="BP3" s="67" t="str">
        <f>BJ3</f>
        <v>Q1</v>
      </c>
      <c r="BQ3" s="67" t="str">
        <f>BK3</f>
        <v>Q1得分</v>
      </c>
      <c r="BR3" s="674" t="str">
        <f>BL3</f>
        <v>Q2</v>
      </c>
      <c r="BS3" s="67" t="str">
        <f>BM3</f>
        <v>Q2得分</v>
      </c>
      <c r="BT3" s="67" t="s">
        <v>1202</v>
      </c>
      <c r="BU3" s="67"/>
      <c r="BV3" s="67" t="str">
        <f>BP3</f>
        <v>Q1</v>
      </c>
      <c r="BW3" s="67" t="str">
        <f>BQ3</f>
        <v>Q1得分</v>
      </c>
      <c r="BX3" s="674" t="str">
        <f>BR3</f>
        <v>Q2</v>
      </c>
      <c r="BY3" s="67" t="str">
        <f>BS3</f>
        <v>Q2得分</v>
      </c>
      <c r="BZ3" s="67" t="s">
        <v>1202</v>
      </c>
      <c r="CA3" s="19"/>
      <c r="CD3" s="585" t="s">
        <v>1709</v>
      </c>
      <c r="CE3" s="585" t="s">
        <v>1690</v>
      </c>
      <c r="CF3" s="585" t="s">
        <v>1691</v>
      </c>
      <c r="CG3" s="585" t="s">
        <v>1635</v>
      </c>
      <c r="CH3" s="585" t="s">
        <v>1692</v>
      </c>
    </row>
    <row r="4" spans="1:88" s="2" customFormat="1">
      <c r="A4" s="1599" t="s">
        <v>1332</v>
      </c>
      <c r="B4" s="1600" t="s">
        <v>1792</v>
      </c>
      <c r="C4" s="13">
        <v>1</v>
      </c>
      <c r="D4" s="990" t="s">
        <v>1802</v>
      </c>
      <c r="E4" s="495"/>
      <c r="F4" s="500"/>
      <c r="G4" s="500" t="s">
        <v>486</v>
      </c>
      <c r="H4" s="502" t="s">
        <v>285</v>
      </c>
      <c r="I4" s="503">
        <v>5</v>
      </c>
      <c r="J4" s="245">
        <f>AVERAGE(BV4,BP4,BJ4,BD4,AX4,AR4,AL4,AF4,Z4,T4)</f>
        <v>0.9</v>
      </c>
      <c r="K4" s="433">
        <f>AVERAGE(BW4,BQ4,BK4,BE4,AY4,AS4,AM4,AG4,AA4,U4)</f>
        <v>4.5</v>
      </c>
      <c r="L4" s="245">
        <f>AVERAGE(BX4,BR4,BL4,BF4,AZ4,AT4,AN4,AH4,AB4,V4)</f>
        <v>0.9</v>
      </c>
      <c r="M4" s="433">
        <f>AVERAGE(BY4,BS4,BM4,BG4,BA4,AU4,AO4,AI4,AC4,W4)</f>
        <v>4.5</v>
      </c>
      <c r="N4" s="1039">
        <f>M4-K4</f>
        <v>0</v>
      </c>
      <c r="O4" s="510">
        <f t="shared" ref="O4:O32" si="0">I4-M4</f>
        <v>0.5</v>
      </c>
      <c r="P4" s="510">
        <f>O4*0.7</f>
        <v>0.35</v>
      </c>
      <c r="Q4" s="833">
        <f>P4/9</f>
        <v>3.888888888888889E-2</v>
      </c>
      <c r="R4" s="832">
        <f>Q4/2</f>
        <v>1.9444444444444445E-2</v>
      </c>
      <c r="S4" s="520"/>
      <c r="T4" s="569">
        <f>IF(T6=0,"",T5/T6)</f>
        <v>1</v>
      </c>
      <c r="U4" s="246">
        <f>IF(T4&gt;=0.8,5,IF(T4&gt;=0.5,2,0))</f>
        <v>5</v>
      </c>
      <c r="V4" s="569">
        <f>IF(V6=0,"",V5/V6)</f>
        <v>1</v>
      </c>
      <c r="W4" s="246">
        <f>IF(V4&gt;=0.8,5,IF(V4&gt;=0.5,2,0))</f>
        <v>5</v>
      </c>
      <c r="X4" s="167">
        <f t="shared" ref="X4:X11" si="1">IF(AND(T4=0,V4&lt;&gt;0),1,IF(AND(T4=0,V4=0),0,V4/T4-1))</f>
        <v>0</v>
      </c>
      <c r="Y4" s="520"/>
      <c r="Z4" s="569">
        <f>IF(Z6=0,"",Z5/Z6)</f>
        <v>1</v>
      </c>
      <c r="AA4" s="246">
        <f>IF(Z4&gt;=0.8,5,IF(Z4&gt;=0.5,2,0))</f>
        <v>5</v>
      </c>
      <c r="AB4" s="569">
        <f>IF(AB6=0,"",AB5/AB6)</f>
        <v>1</v>
      </c>
      <c r="AC4" s="246">
        <f>IF(AB4&gt;=0.8,5,IF(AB4&gt;=0.5,2,0))</f>
        <v>5</v>
      </c>
      <c r="AD4" s="167">
        <f t="shared" ref="AD4:AD11" si="2">IF(AND(Z4=0,AB4&lt;&gt;0),1,IF(AND(Z4=0,AB4=0),0,AB4/Z4-1))</f>
        <v>0</v>
      </c>
      <c r="AE4" s="520"/>
      <c r="AF4" s="569">
        <f>IF(AF6=0,"",AF5/AF6)</f>
        <v>1</v>
      </c>
      <c r="AG4" s="246">
        <f>IF(AF4&gt;=0.8,5,IF(AF4&gt;=0.5,2,0))</f>
        <v>5</v>
      </c>
      <c r="AH4" s="569">
        <f>IF(AH6=0,"",AH5/AH6)</f>
        <v>1</v>
      </c>
      <c r="AI4" s="246">
        <f>IF(AH4&gt;=0.8,5,IF(AH4&gt;=0.5,2,0))</f>
        <v>5</v>
      </c>
      <c r="AJ4" s="167">
        <f t="shared" ref="AJ4:AJ11" si="3">IF(AND(AF4=0,AH4&lt;&gt;0),1,IF(AND(AF4=0,AH4=0),0,AH4/AF4-1))</f>
        <v>0</v>
      </c>
      <c r="AK4" s="520"/>
      <c r="AL4" s="569">
        <f>IF(AL6=0,"",AL5/AL6)</f>
        <v>1</v>
      </c>
      <c r="AM4" s="246">
        <f>IF(AL4&gt;=0.8,5,IF(AL4&gt;=0.5,2,0))</f>
        <v>5</v>
      </c>
      <c r="AN4" s="569">
        <f>IF(AN6=0,"",AN5/AN6)</f>
        <v>1</v>
      </c>
      <c r="AO4" s="246">
        <f>IF(AN4&gt;=0.8,5,IF(AN4&gt;=0.5,2,0))</f>
        <v>5</v>
      </c>
      <c r="AP4" s="167">
        <f t="shared" ref="AP4:AP11" si="4">IF(AND(AL4=0,AN4&lt;&gt;0),1,IF(AND(AL4=0,AN4=0),0,AN4/AL4-1))</f>
        <v>0</v>
      </c>
      <c r="AQ4" s="520"/>
      <c r="AR4" s="569">
        <f>IF(AR6=0,"",AR5/AR6)</f>
        <v>1</v>
      </c>
      <c r="AS4" s="246">
        <f>IF(AR4&gt;=0.8,5,IF(AR4&gt;=0.5,2,0))</f>
        <v>5</v>
      </c>
      <c r="AT4" s="569">
        <f>IF(AT6=0,"",AT5/AT6)</f>
        <v>1</v>
      </c>
      <c r="AU4" s="246">
        <f>IF(AT4&gt;=0.8,5,IF(AT4&gt;=0.5,2,0))</f>
        <v>5</v>
      </c>
      <c r="AV4" s="167">
        <f t="shared" ref="AV4:AV11" si="5">IF(AND(AR4=0,AT4&lt;&gt;0),1,IF(AND(AR4=0,AT4=0),0,AT4/AR4-1))</f>
        <v>0</v>
      </c>
      <c r="AW4" s="520"/>
      <c r="AX4" s="569">
        <f>IF(AX6=0,"",AX5/AX6)</f>
        <v>1</v>
      </c>
      <c r="AY4" s="246">
        <f>IF(AX4&gt;=0.8,5,IF(AX4&gt;=0.5,2,0))</f>
        <v>5</v>
      </c>
      <c r="AZ4" s="569">
        <f>IF(AZ6=0,"",AZ5/AZ6)</f>
        <v>1</v>
      </c>
      <c r="BA4" s="246">
        <f>IF(AZ4&gt;=0.8,5,IF(AZ4&gt;=0.5,2,0))</f>
        <v>5</v>
      </c>
      <c r="BB4" s="167">
        <f t="shared" ref="BB4:BB11" si="6">IF(AND(AX4=0,AZ4&lt;&gt;0),1,IF(AND(AX4=0,AZ4=0),0,AZ4/AX4-1))</f>
        <v>0</v>
      </c>
      <c r="BC4" s="520"/>
      <c r="BD4" s="569">
        <f>IF(BD6=0,"",BD5/BD6)</f>
        <v>0</v>
      </c>
      <c r="BE4" s="246">
        <f>IF(BD4&gt;=0.8,5,IF(BD4&gt;=0.5,2,0))</f>
        <v>0</v>
      </c>
      <c r="BF4" s="569">
        <f>IF(BF6=0,"",BF5/BF6)</f>
        <v>0</v>
      </c>
      <c r="BG4" s="246">
        <f>IF(BF4&gt;=0.8,5,IF(BF4&gt;=0.5,2,0))</f>
        <v>0</v>
      </c>
      <c r="BH4" s="167">
        <f t="shared" ref="BH4:BH11" si="7">IF(AND(BD4=0,BF4&lt;&gt;0),1,IF(AND(BD4=0,BF4=0),0,BF4/BD4-1))</f>
        <v>0</v>
      </c>
      <c r="BI4" s="520"/>
      <c r="BJ4" s="569">
        <f>IF(BJ6=0,"",BJ5/BJ6)</f>
        <v>1</v>
      </c>
      <c r="BK4" s="246">
        <f>IF(BJ4&gt;=0.8,5,IF(BJ4&gt;=0.5,2,0))</f>
        <v>5</v>
      </c>
      <c r="BL4" s="569">
        <f>IF(BL6=0,"",BL5/BL6)</f>
        <v>1</v>
      </c>
      <c r="BM4" s="246">
        <f>IF(BL4&gt;=0.8,5,IF(BL4&gt;=0.5,2,0))</f>
        <v>5</v>
      </c>
      <c r="BN4" s="167">
        <f t="shared" ref="BN4:BN11" si="8">IF(AND(BJ4=0,BL4&lt;&gt;0),1,IF(AND(BJ4=0,BL4=0),0,BL4/BJ4-1))</f>
        <v>0</v>
      </c>
      <c r="BO4" s="520"/>
      <c r="BP4" s="569">
        <f>IF(BP6=0,"",BP5/BP6)</f>
        <v>1</v>
      </c>
      <c r="BQ4" s="246">
        <f>IF(BP4&gt;=0.8,5,IF(BP4&gt;=0.5,2,0))</f>
        <v>5</v>
      </c>
      <c r="BR4" s="569">
        <f>IF(BR6=0,"",BR5/BR6)</f>
        <v>1</v>
      </c>
      <c r="BS4" s="246">
        <f>IF(BR4&gt;=0.8,5,IF(BR4&gt;=0.5,2,0))</f>
        <v>5</v>
      </c>
      <c r="BT4" s="167">
        <f t="shared" ref="BT4:BT11" si="9">IF(AND(BP4=0,BR4&lt;&gt;0),1,IF(AND(BP4=0,BR4=0),0,BR4/BP4-1))</f>
        <v>0</v>
      </c>
      <c r="BU4" s="520"/>
      <c r="BV4" s="569">
        <f>IF(BV6=0,"",BV5/BV6)</f>
        <v>1</v>
      </c>
      <c r="BW4" s="246">
        <f>IF(BV4&gt;=0.8,5,IF(BV4&gt;=0.5,2,0))</f>
        <v>5</v>
      </c>
      <c r="BX4" s="569">
        <f>IF(BX6=0,"",BX5/BX6)</f>
        <v>1</v>
      </c>
      <c r="BY4" s="246">
        <f>IF(BX4&gt;=0.8,5,IF(BX4&gt;=0.5,2,0))</f>
        <v>5</v>
      </c>
      <c r="BZ4" s="167">
        <f t="shared" ref="BZ4:BZ11" si="10">IF(AND(BV4=0,BX4&lt;&gt;0),1,IF(AND(BV4=0,BX4=0),0,BX4/BV4-1))</f>
        <v>0</v>
      </c>
      <c r="CA4" s="18"/>
      <c r="CD4" s="582">
        <f t="shared" ref="CD4:CD15" si="11">K4</f>
        <v>4.5</v>
      </c>
      <c r="CE4" s="583">
        <v>1</v>
      </c>
      <c r="CF4" s="584">
        <f>M4</f>
        <v>4.5</v>
      </c>
      <c r="CG4" s="584">
        <v>0</v>
      </c>
      <c r="CH4" s="582">
        <f t="shared" ref="CH4:CH15" si="12">N4</f>
        <v>0</v>
      </c>
    </row>
    <row r="5" spans="1:88" s="2" customFormat="1">
      <c r="A5" s="1609"/>
      <c r="B5" s="1588"/>
      <c r="C5" s="50">
        <v>1.1000000000000001</v>
      </c>
      <c r="D5" s="17" t="s">
        <v>2073</v>
      </c>
      <c r="E5" s="495" t="s">
        <v>1241</v>
      </c>
      <c r="F5" s="51"/>
      <c r="G5" s="51"/>
      <c r="H5" s="50"/>
      <c r="I5" s="51"/>
      <c r="J5" s="573">
        <f t="shared" ref="J5:J11" si="13">AVERAGE(BV5,BP5,BJ5,BD5,AX5,AR5,AL5,AF5,Z5,T5)</f>
        <v>0.9</v>
      </c>
      <c r="K5" s="433"/>
      <c r="L5" s="573">
        <f t="shared" ref="L5:L11" si="14">AVERAGE(BX5,BR5,BL5,BF5,AZ5,AT5,AN5,AH5,AB5,V5)</f>
        <v>0.9</v>
      </c>
      <c r="M5" s="433"/>
      <c r="N5" s="512">
        <f t="shared" ref="N5:N38" si="15">M5-K5</f>
        <v>0</v>
      </c>
      <c r="O5" s="65">
        <f t="shared" si="0"/>
        <v>0</v>
      </c>
      <c r="P5" s="510">
        <f t="shared" ref="P5:P48" si="16">O5*0.7</f>
        <v>0</v>
      </c>
      <c r="Q5" s="833">
        <f t="shared" ref="Q5:Q47" si="17">P5/9</f>
        <v>0</v>
      </c>
      <c r="R5" s="832">
        <f t="shared" ref="R5:R47" si="18">Q5/2</f>
        <v>0</v>
      </c>
      <c r="S5" s="520"/>
      <c r="T5" s="638">
        <v>1</v>
      </c>
      <c r="U5" s="58"/>
      <c r="V5" s="638">
        <v>1</v>
      </c>
      <c r="W5" s="58"/>
      <c r="X5" s="167">
        <f t="shared" si="1"/>
        <v>0</v>
      </c>
      <c r="Y5" s="520"/>
      <c r="Z5" s="638">
        <v>1</v>
      </c>
      <c r="AA5" s="58"/>
      <c r="AB5" s="638">
        <v>1</v>
      </c>
      <c r="AC5" s="58"/>
      <c r="AD5" s="167">
        <f t="shared" si="2"/>
        <v>0</v>
      </c>
      <c r="AE5" s="520"/>
      <c r="AF5" s="638">
        <v>1</v>
      </c>
      <c r="AG5" s="58"/>
      <c r="AH5" s="638">
        <v>1</v>
      </c>
      <c r="AI5" s="58"/>
      <c r="AJ5" s="167">
        <f t="shared" si="3"/>
        <v>0</v>
      </c>
      <c r="AK5" s="520"/>
      <c r="AL5" s="638">
        <v>1</v>
      </c>
      <c r="AM5" s="58"/>
      <c r="AN5" s="638">
        <v>1</v>
      </c>
      <c r="AO5" s="58"/>
      <c r="AP5" s="167">
        <f t="shared" si="4"/>
        <v>0</v>
      </c>
      <c r="AQ5" s="520"/>
      <c r="AR5" s="638">
        <v>1</v>
      </c>
      <c r="AS5" s="58"/>
      <c r="AT5" s="638">
        <v>1</v>
      </c>
      <c r="AU5" s="58"/>
      <c r="AV5" s="167">
        <f t="shared" si="5"/>
        <v>0</v>
      </c>
      <c r="AW5" s="520"/>
      <c r="AX5" s="638">
        <v>1</v>
      </c>
      <c r="AY5" s="58"/>
      <c r="AZ5" s="638">
        <v>1</v>
      </c>
      <c r="BA5" s="58"/>
      <c r="BB5" s="167">
        <f t="shared" si="6"/>
        <v>0</v>
      </c>
      <c r="BC5" s="520"/>
      <c r="BD5" s="638">
        <v>0</v>
      </c>
      <c r="BE5" s="58"/>
      <c r="BF5" s="638">
        <v>0</v>
      </c>
      <c r="BG5" s="58"/>
      <c r="BH5" s="167">
        <f t="shared" si="7"/>
        <v>0</v>
      </c>
      <c r="BI5" s="520"/>
      <c r="BJ5" s="638">
        <v>1</v>
      </c>
      <c r="BK5" s="58"/>
      <c r="BL5" s="638">
        <v>1</v>
      </c>
      <c r="BM5" s="58"/>
      <c r="BN5" s="167">
        <f t="shared" si="8"/>
        <v>0</v>
      </c>
      <c r="BO5" s="520"/>
      <c r="BP5" s="638">
        <v>1</v>
      </c>
      <c r="BQ5" s="58"/>
      <c r="BR5" s="638">
        <v>1</v>
      </c>
      <c r="BS5" s="58"/>
      <c r="BT5" s="167">
        <f t="shared" si="9"/>
        <v>0</v>
      </c>
      <c r="BU5" s="520"/>
      <c r="BV5" s="638">
        <v>1</v>
      </c>
      <c r="BW5" s="58"/>
      <c r="BX5" s="638">
        <v>1</v>
      </c>
      <c r="BY5" s="58"/>
      <c r="BZ5" s="167">
        <f t="shared" si="10"/>
        <v>0</v>
      </c>
      <c r="CA5" s="18"/>
      <c r="CD5" s="582">
        <f t="shared" si="11"/>
        <v>0</v>
      </c>
      <c r="CE5" s="583"/>
      <c r="CF5" s="584"/>
      <c r="CG5" s="584">
        <v>0</v>
      </c>
      <c r="CH5" s="582">
        <f t="shared" si="12"/>
        <v>0</v>
      </c>
    </row>
    <row r="6" spans="1:88" s="2" customFormat="1">
      <c r="A6" s="1610"/>
      <c r="B6" s="1589"/>
      <c r="C6" s="50">
        <v>1.2</v>
      </c>
      <c r="D6" s="17" t="s">
        <v>2072</v>
      </c>
      <c r="E6" s="495" t="s">
        <v>1241</v>
      </c>
      <c r="F6" s="51"/>
      <c r="G6" s="51"/>
      <c r="H6" s="50"/>
      <c r="I6" s="51"/>
      <c r="J6" s="573">
        <f t="shared" si="13"/>
        <v>1</v>
      </c>
      <c r="K6" s="433"/>
      <c r="L6" s="573">
        <f t="shared" si="14"/>
        <v>1</v>
      </c>
      <c r="M6" s="433"/>
      <c r="N6" s="512">
        <f t="shared" si="15"/>
        <v>0</v>
      </c>
      <c r="O6" s="65">
        <f t="shared" si="0"/>
        <v>0</v>
      </c>
      <c r="P6" s="510">
        <f t="shared" si="16"/>
        <v>0</v>
      </c>
      <c r="Q6" s="833">
        <f t="shared" si="17"/>
        <v>0</v>
      </c>
      <c r="R6" s="832">
        <f t="shared" si="18"/>
        <v>0</v>
      </c>
      <c r="S6" s="520"/>
      <c r="T6" s="638">
        <v>1</v>
      </c>
      <c r="U6" s="58"/>
      <c r="V6" s="638">
        <v>1</v>
      </c>
      <c r="W6" s="58"/>
      <c r="X6" s="167">
        <f t="shared" si="1"/>
        <v>0</v>
      </c>
      <c r="Y6" s="520"/>
      <c r="Z6" s="638">
        <v>1</v>
      </c>
      <c r="AA6" s="58"/>
      <c r="AB6" s="638">
        <v>1</v>
      </c>
      <c r="AC6" s="58"/>
      <c r="AD6" s="167">
        <f t="shared" si="2"/>
        <v>0</v>
      </c>
      <c r="AE6" s="520"/>
      <c r="AF6" s="638">
        <v>1</v>
      </c>
      <c r="AG6" s="58"/>
      <c r="AH6" s="638">
        <v>1</v>
      </c>
      <c r="AI6" s="58"/>
      <c r="AJ6" s="167">
        <f t="shared" si="3"/>
        <v>0</v>
      </c>
      <c r="AK6" s="520"/>
      <c r="AL6" s="638">
        <v>1</v>
      </c>
      <c r="AM6" s="58"/>
      <c r="AN6" s="638">
        <v>1</v>
      </c>
      <c r="AO6" s="58"/>
      <c r="AP6" s="167">
        <f t="shared" si="4"/>
        <v>0</v>
      </c>
      <c r="AQ6" s="520"/>
      <c r="AR6" s="638">
        <v>1</v>
      </c>
      <c r="AS6" s="58"/>
      <c r="AT6" s="638">
        <v>1</v>
      </c>
      <c r="AU6" s="58"/>
      <c r="AV6" s="167">
        <f t="shared" si="5"/>
        <v>0</v>
      </c>
      <c r="AW6" s="520"/>
      <c r="AX6" s="638">
        <v>1</v>
      </c>
      <c r="AY6" s="58"/>
      <c r="AZ6" s="638">
        <v>1</v>
      </c>
      <c r="BA6" s="58"/>
      <c r="BB6" s="167">
        <f t="shared" si="6"/>
        <v>0</v>
      </c>
      <c r="BC6" s="520"/>
      <c r="BD6" s="638">
        <v>1</v>
      </c>
      <c r="BE6" s="58"/>
      <c r="BF6" s="638">
        <v>1</v>
      </c>
      <c r="BG6" s="58"/>
      <c r="BH6" s="167">
        <f t="shared" si="7"/>
        <v>0</v>
      </c>
      <c r="BI6" s="520"/>
      <c r="BJ6" s="638">
        <v>1</v>
      </c>
      <c r="BK6" s="58"/>
      <c r="BL6" s="638">
        <v>1</v>
      </c>
      <c r="BM6" s="58"/>
      <c r="BN6" s="167">
        <f t="shared" si="8"/>
        <v>0</v>
      </c>
      <c r="BO6" s="520"/>
      <c r="BP6" s="638">
        <v>1</v>
      </c>
      <c r="BQ6" s="58"/>
      <c r="BR6" s="638">
        <v>1</v>
      </c>
      <c r="BS6" s="58"/>
      <c r="BT6" s="167">
        <f t="shared" si="9"/>
        <v>0</v>
      </c>
      <c r="BU6" s="520"/>
      <c r="BV6" s="638">
        <v>1</v>
      </c>
      <c r="BW6" s="58"/>
      <c r="BX6" s="638">
        <v>1</v>
      </c>
      <c r="BY6" s="58"/>
      <c r="BZ6" s="167">
        <f t="shared" si="10"/>
        <v>0</v>
      </c>
      <c r="CA6" s="18"/>
      <c r="CD6" s="582">
        <f t="shared" si="11"/>
        <v>0</v>
      </c>
      <c r="CE6" s="583"/>
      <c r="CF6" s="584"/>
      <c r="CG6" s="584">
        <v>0</v>
      </c>
      <c r="CH6" s="582">
        <f t="shared" si="12"/>
        <v>0</v>
      </c>
    </row>
    <row r="7" spans="1:88" s="2" customFormat="1">
      <c r="A7" s="1584" t="s">
        <v>1333</v>
      </c>
      <c r="B7" s="1587" t="s">
        <v>1218</v>
      </c>
      <c r="C7" s="13">
        <v>2</v>
      </c>
      <c r="D7" s="990" t="s">
        <v>2110</v>
      </c>
      <c r="E7" s="495"/>
      <c r="F7" s="51"/>
      <c r="G7" s="51" t="s">
        <v>1225</v>
      </c>
      <c r="H7" s="50" t="s">
        <v>1329</v>
      </c>
      <c r="I7" s="503">
        <v>3</v>
      </c>
      <c r="J7" s="245">
        <f t="shared" si="13"/>
        <v>0.05</v>
      </c>
      <c r="K7" s="433">
        <f>AVERAGE(BW7,BQ7,BK7,BE7,AY7,AS7,AM7,AG7,AA7,U7)</f>
        <v>2.7</v>
      </c>
      <c r="L7" s="245">
        <f t="shared" si="14"/>
        <v>0.05</v>
      </c>
      <c r="M7" s="433">
        <f>AVERAGE(BY7,BS7,BM7,BG7,BA7,AU7,AO7,AI7,AC7,W7)</f>
        <v>2.7</v>
      </c>
      <c r="N7" s="1039">
        <f t="shared" si="15"/>
        <v>0</v>
      </c>
      <c r="O7" s="510">
        <f t="shared" si="0"/>
        <v>0.29999999999999982</v>
      </c>
      <c r="P7" s="510">
        <f t="shared" si="16"/>
        <v>0.20999999999999985</v>
      </c>
      <c r="Q7" s="833">
        <f t="shared" si="17"/>
        <v>2.3333333333333317E-2</v>
      </c>
      <c r="R7" s="832">
        <f t="shared" si="18"/>
        <v>1.1666666666666659E-2</v>
      </c>
      <c r="S7" s="520"/>
      <c r="T7" s="569">
        <f>ROUND(T8,0)/(ROUND(T9,0)+ROUND(T10,0))</f>
        <v>0</v>
      </c>
      <c r="U7" s="631">
        <f>IF(T7&lt;=0.15,3,IF(T7&lt;=0.3,1.5,0))</f>
        <v>3</v>
      </c>
      <c r="V7" s="569">
        <f>ROUND(V8,0)/(ROUND(V9,0)+ROUND(V10,0))</f>
        <v>0</v>
      </c>
      <c r="W7" s="631">
        <f>IF(V7&lt;=0.15,3,IF(V7&lt;=0.3,1.5,0))</f>
        <v>3</v>
      </c>
      <c r="X7" s="167">
        <f t="shared" si="1"/>
        <v>0</v>
      </c>
      <c r="Y7" s="520"/>
      <c r="Z7" s="569">
        <f>ROUND(Z8,0)/(ROUND(Z9,0)+ROUND(Z10,0))</f>
        <v>0</v>
      </c>
      <c r="AA7" s="631">
        <f>IF(Z7&lt;=0.15,3,IF(Z7&lt;=0.3,1.5,0))</f>
        <v>3</v>
      </c>
      <c r="AB7" s="569">
        <f>ROUND(AB8,0)/(ROUND(AB9,0)+ROUND(AB10,0))</f>
        <v>0</v>
      </c>
      <c r="AC7" s="631">
        <f>IF(AB7&lt;=0.15,3,IF(AB7&lt;=0.3,1.5,0))</f>
        <v>3</v>
      </c>
      <c r="AD7" s="167">
        <f t="shared" si="2"/>
        <v>0</v>
      </c>
      <c r="AE7" s="520"/>
      <c r="AF7" s="569">
        <f>ROUND(AF8,0)/(ROUND(AF9,0)+ROUND(AF10,0))</f>
        <v>0</v>
      </c>
      <c r="AG7" s="631">
        <f>IF(AF7&lt;=0.15,3,IF(AF7&lt;=0.3,1.5,0))</f>
        <v>3</v>
      </c>
      <c r="AH7" s="569">
        <f>ROUND(AH8,0)/(ROUND(AH9,0)+ROUND(AH10,0))</f>
        <v>0</v>
      </c>
      <c r="AI7" s="631">
        <f>IF(AH7&lt;=0.15,3,IF(AH7&lt;=0.3,1.5,0))</f>
        <v>3</v>
      </c>
      <c r="AJ7" s="167">
        <f t="shared" si="3"/>
        <v>0</v>
      </c>
      <c r="AK7" s="520"/>
      <c r="AL7" s="569">
        <f>ROUND(AL8,0)/(ROUND(AL9,0)+ROUND(AL10,0))</f>
        <v>0</v>
      </c>
      <c r="AM7" s="631">
        <f>IF(AL7&lt;=0.15,3,IF(AL7&lt;=0.3,1.5,0))</f>
        <v>3</v>
      </c>
      <c r="AN7" s="569">
        <f>ROUND(AN8,0)/(ROUND(AN9,0)+ROUND(AN10,0))</f>
        <v>0</v>
      </c>
      <c r="AO7" s="631">
        <f>IF(AN7&lt;=0.15,3,IF(AN7&lt;=0.3,1.5,0))</f>
        <v>3</v>
      </c>
      <c r="AP7" s="167">
        <f t="shared" si="4"/>
        <v>0</v>
      </c>
      <c r="AQ7" s="520"/>
      <c r="AR7" s="569">
        <f>ROUND(AR8,0)/(ROUND(AR9,0)+ROUND(AR10,0))</f>
        <v>0</v>
      </c>
      <c r="AS7" s="631">
        <f>IF(AR7&lt;=0.15,3,IF(AR7&lt;=0.3,1.5,0))</f>
        <v>3</v>
      </c>
      <c r="AT7" s="569">
        <f>ROUND(AT8,0)/(ROUND(AT9,0)+ROUND(AT10,0))</f>
        <v>0</v>
      </c>
      <c r="AU7" s="631">
        <f>IF(AT7&lt;=0.15,3,IF(AT7&lt;=0.3,1.5,0))</f>
        <v>3</v>
      </c>
      <c r="AV7" s="167">
        <f t="shared" si="5"/>
        <v>0</v>
      </c>
      <c r="AW7" s="520"/>
      <c r="AX7" s="569">
        <f>ROUND(AX8,0)/(ROUND(AX9,0)+ROUND(AX10,0))</f>
        <v>0</v>
      </c>
      <c r="AY7" s="631">
        <f>IF(AX7&lt;=0.15,3,IF(AX7&lt;=0.3,1.5,0))</f>
        <v>3</v>
      </c>
      <c r="AZ7" s="569">
        <f>ROUND(AZ8,0)/(ROUND(AZ9,0)+ROUND(AZ10,0))</f>
        <v>0</v>
      </c>
      <c r="BA7" s="631">
        <f>IF(AZ7&lt;=0.15,3,IF(AZ7&lt;=0.3,1.5,0))</f>
        <v>3</v>
      </c>
      <c r="BB7" s="167">
        <f t="shared" si="6"/>
        <v>0</v>
      </c>
      <c r="BC7" s="520"/>
      <c r="BD7" s="569">
        <f>ROUND(BD8,0)/(ROUND(BD9,0)+ROUND(BD10,0))</f>
        <v>0</v>
      </c>
      <c r="BE7" s="631">
        <f>IF(BD7&lt;=0.15,3,IF(BD7&lt;=0.3,1.5,0))</f>
        <v>3</v>
      </c>
      <c r="BF7" s="569">
        <f>ROUND(BF8,0)/(ROUND(BF9,0)+ROUND(BF10,0))</f>
        <v>0</v>
      </c>
      <c r="BG7" s="631">
        <f>IF(BF7&lt;=0.15,3,IF(BF7&lt;=0.3,1.5,0))</f>
        <v>3</v>
      </c>
      <c r="BH7" s="167">
        <f t="shared" si="7"/>
        <v>0</v>
      </c>
      <c r="BI7" s="520"/>
      <c r="BJ7" s="569">
        <f>ROUND(BJ8,0)/(ROUND(BJ9,0)+ROUND(BJ10,0))</f>
        <v>0</v>
      </c>
      <c r="BK7" s="631">
        <f>IF(BJ7&lt;=0.15,3,IF(BJ7&lt;=0.3,1.5,0))</f>
        <v>3</v>
      </c>
      <c r="BL7" s="569">
        <f>ROUND(BL8,0)/(ROUND(BL9,0)+ROUND(BL10,0))</f>
        <v>0</v>
      </c>
      <c r="BM7" s="631">
        <f>IF(BL7&lt;=0.15,3,IF(BL7&lt;=0.3,1.5,0))</f>
        <v>3</v>
      </c>
      <c r="BN7" s="167">
        <f t="shared" si="8"/>
        <v>0</v>
      </c>
      <c r="BO7" s="520"/>
      <c r="BP7" s="569">
        <f>ROUND(BP8,0)/(ROUND(BP9,0)+ROUND(BP10,0))</f>
        <v>0.5</v>
      </c>
      <c r="BQ7" s="631">
        <f>IF(BP7&lt;=0.15,3,IF(BP7&lt;=0.3,1.5,0))</f>
        <v>0</v>
      </c>
      <c r="BR7" s="569">
        <f>ROUND(BR8,0)/(ROUND(BR9,0)+ROUND(BR10,0))</f>
        <v>0.5</v>
      </c>
      <c r="BS7" s="631">
        <f>IF(BR7&lt;=0.15,3,IF(BR7&lt;=0.3,1.5,0))</f>
        <v>0</v>
      </c>
      <c r="BT7" s="167">
        <f t="shared" si="9"/>
        <v>0</v>
      </c>
      <c r="BU7" s="520"/>
      <c r="BV7" s="569">
        <f>ROUND(BV8,0)/(ROUND(BV9,0)+ROUND(BV10,0))</f>
        <v>0</v>
      </c>
      <c r="BW7" s="631">
        <f>IF(BV7&lt;=0.15,3,IF(BV7&lt;=0.3,1.5,0))</f>
        <v>3</v>
      </c>
      <c r="BX7" s="569">
        <f>ROUND(BX8,0)/(ROUND(BX9,0)+ROUND(BX10,0))</f>
        <v>0</v>
      </c>
      <c r="BY7" s="631">
        <f>IF(BX7&lt;=0.15,3,IF(BX7&lt;=0.3,1.5,0))</f>
        <v>3</v>
      </c>
      <c r="BZ7" s="167">
        <f t="shared" si="10"/>
        <v>0</v>
      </c>
      <c r="CA7" s="18"/>
      <c r="CD7" s="582">
        <f t="shared" si="11"/>
        <v>2.7</v>
      </c>
      <c r="CE7" s="583">
        <v>1</v>
      </c>
      <c r="CF7" s="584">
        <f>M7</f>
        <v>2.7</v>
      </c>
      <c r="CG7" s="584">
        <v>0</v>
      </c>
      <c r="CH7" s="582">
        <f t="shared" si="12"/>
        <v>0</v>
      </c>
    </row>
    <row r="8" spans="1:88" s="2" customFormat="1">
      <c r="A8" s="1585"/>
      <c r="B8" s="1588"/>
      <c r="C8" s="50">
        <v>2.1</v>
      </c>
      <c r="D8" s="17" t="s">
        <v>1334</v>
      </c>
      <c r="E8" s="495" t="s">
        <v>1241</v>
      </c>
      <c r="F8" s="51"/>
      <c r="G8" s="51"/>
      <c r="H8" s="50"/>
      <c r="I8" s="51"/>
      <c r="J8" s="573">
        <f t="shared" si="13"/>
        <v>0.1</v>
      </c>
      <c r="K8" s="433"/>
      <c r="L8" s="573">
        <f t="shared" si="14"/>
        <v>0.1</v>
      </c>
      <c r="M8" s="433"/>
      <c r="N8" s="512">
        <f t="shared" si="15"/>
        <v>0</v>
      </c>
      <c r="O8" s="65">
        <f t="shared" si="0"/>
        <v>0</v>
      </c>
      <c r="P8" s="510">
        <f t="shared" si="16"/>
        <v>0</v>
      </c>
      <c r="Q8" s="833">
        <f t="shared" si="17"/>
        <v>0</v>
      </c>
      <c r="R8" s="832">
        <f t="shared" si="18"/>
        <v>0</v>
      </c>
      <c r="S8" s="520"/>
      <c r="T8" s="638">
        <v>0</v>
      </c>
      <c r="U8" s="58"/>
      <c r="V8" s="638">
        <v>0</v>
      </c>
      <c r="W8" s="58"/>
      <c r="X8" s="167">
        <f t="shared" si="1"/>
        <v>0</v>
      </c>
      <c r="Y8" s="520"/>
      <c r="Z8" s="638">
        <v>0</v>
      </c>
      <c r="AA8" s="58"/>
      <c r="AB8" s="638">
        <v>0</v>
      </c>
      <c r="AC8" s="58"/>
      <c r="AD8" s="167">
        <f t="shared" si="2"/>
        <v>0</v>
      </c>
      <c r="AE8" s="520"/>
      <c r="AF8" s="638">
        <v>0</v>
      </c>
      <c r="AG8" s="58"/>
      <c r="AH8" s="638">
        <v>0</v>
      </c>
      <c r="AI8" s="58"/>
      <c r="AJ8" s="167">
        <f t="shared" si="3"/>
        <v>0</v>
      </c>
      <c r="AK8" s="520"/>
      <c r="AL8" s="638">
        <v>0</v>
      </c>
      <c r="AM8" s="58"/>
      <c r="AN8" s="638">
        <v>0</v>
      </c>
      <c r="AO8" s="58"/>
      <c r="AP8" s="167">
        <f t="shared" si="4"/>
        <v>0</v>
      </c>
      <c r="AQ8" s="520"/>
      <c r="AR8" s="638">
        <v>0</v>
      </c>
      <c r="AS8" s="58"/>
      <c r="AT8" s="638">
        <v>0</v>
      </c>
      <c r="AU8" s="58"/>
      <c r="AV8" s="167">
        <f t="shared" si="5"/>
        <v>0</v>
      </c>
      <c r="AW8" s="520"/>
      <c r="AX8" s="638">
        <v>0</v>
      </c>
      <c r="AY8" s="58"/>
      <c r="AZ8" s="638">
        <v>0</v>
      </c>
      <c r="BA8" s="58"/>
      <c r="BB8" s="167">
        <f t="shared" si="6"/>
        <v>0</v>
      </c>
      <c r="BC8" s="520"/>
      <c r="BD8" s="638">
        <v>0</v>
      </c>
      <c r="BE8" s="58"/>
      <c r="BF8" s="638">
        <v>0</v>
      </c>
      <c r="BG8" s="58"/>
      <c r="BH8" s="167">
        <f t="shared" si="7"/>
        <v>0</v>
      </c>
      <c r="BI8" s="520"/>
      <c r="BJ8" s="638">
        <v>0</v>
      </c>
      <c r="BK8" s="58"/>
      <c r="BL8" s="638">
        <v>0</v>
      </c>
      <c r="BM8" s="58"/>
      <c r="BN8" s="167">
        <f t="shared" si="8"/>
        <v>0</v>
      </c>
      <c r="BO8" s="520"/>
      <c r="BP8" s="638">
        <v>1</v>
      </c>
      <c r="BQ8" s="58"/>
      <c r="BR8" s="638">
        <v>1</v>
      </c>
      <c r="BS8" s="58"/>
      <c r="BT8" s="167">
        <f t="shared" si="9"/>
        <v>0</v>
      </c>
      <c r="BU8" s="520"/>
      <c r="BV8" s="638">
        <v>0</v>
      </c>
      <c r="BW8" s="58"/>
      <c r="BX8" s="638">
        <v>0</v>
      </c>
      <c r="BY8" s="58"/>
      <c r="BZ8" s="167">
        <f t="shared" si="10"/>
        <v>0</v>
      </c>
      <c r="CA8" s="18"/>
      <c r="CD8" s="582">
        <f t="shared" si="11"/>
        <v>0</v>
      </c>
      <c r="CE8" s="583"/>
      <c r="CF8" s="584"/>
      <c r="CG8" s="584">
        <v>0</v>
      </c>
      <c r="CH8" s="582">
        <f t="shared" si="12"/>
        <v>0</v>
      </c>
    </row>
    <row r="9" spans="1:88" s="2" customFormat="1">
      <c r="A9" s="1585"/>
      <c r="B9" s="1588"/>
      <c r="C9" s="50">
        <v>2.2000000000000002</v>
      </c>
      <c r="D9" s="17" t="s">
        <v>1335</v>
      </c>
      <c r="E9" s="495" t="s">
        <v>1241</v>
      </c>
      <c r="F9" s="51"/>
      <c r="G9" s="51"/>
      <c r="H9" s="50"/>
      <c r="I9" s="51"/>
      <c r="J9" s="573">
        <f t="shared" si="13"/>
        <v>1.3</v>
      </c>
      <c r="K9" s="433"/>
      <c r="L9" s="573">
        <f t="shared" si="14"/>
        <v>1.3</v>
      </c>
      <c r="M9" s="433"/>
      <c r="N9" s="512">
        <f t="shared" si="15"/>
        <v>0</v>
      </c>
      <c r="O9" s="65">
        <f t="shared" si="0"/>
        <v>0</v>
      </c>
      <c r="P9" s="510">
        <f t="shared" si="16"/>
        <v>0</v>
      </c>
      <c r="Q9" s="833">
        <f t="shared" si="17"/>
        <v>0</v>
      </c>
      <c r="R9" s="832">
        <f t="shared" si="18"/>
        <v>0</v>
      </c>
      <c r="S9" s="520"/>
      <c r="T9" s="638">
        <v>1</v>
      </c>
      <c r="U9" s="58"/>
      <c r="V9" s="638">
        <v>1</v>
      </c>
      <c r="W9" s="58"/>
      <c r="X9" s="167">
        <f t="shared" si="1"/>
        <v>0</v>
      </c>
      <c r="Y9" s="520"/>
      <c r="Z9" s="638">
        <v>2</v>
      </c>
      <c r="AA9" s="58"/>
      <c r="AB9" s="638">
        <v>2</v>
      </c>
      <c r="AC9" s="58"/>
      <c r="AD9" s="167">
        <f t="shared" si="2"/>
        <v>0</v>
      </c>
      <c r="AE9" s="520"/>
      <c r="AF9" s="638">
        <v>2</v>
      </c>
      <c r="AG9" s="58"/>
      <c r="AH9" s="638">
        <v>2</v>
      </c>
      <c r="AI9" s="58"/>
      <c r="AJ9" s="167">
        <f t="shared" si="3"/>
        <v>0</v>
      </c>
      <c r="AK9" s="520"/>
      <c r="AL9" s="638">
        <v>1</v>
      </c>
      <c r="AM9" s="58"/>
      <c r="AN9" s="638">
        <v>1</v>
      </c>
      <c r="AO9" s="58"/>
      <c r="AP9" s="167">
        <f t="shared" si="4"/>
        <v>0</v>
      </c>
      <c r="AQ9" s="520"/>
      <c r="AR9" s="638">
        <v>1</v>
      </c>
      <c r="AS9" s="58"/>
      <c r="AT9" s="638">
        <v>1</v>
      </c>
      <c r="AU9" s="58"/>
      <c r="AV9" s="167">
        <f t="shared" si="5"/>
        <v>0</v>
      </c>
      <c r="AW9" s="520"/>
      <c r="AX9" s="638">
        <v>1</v>
      </c>
      <c r="AY9" s="58"/>
      <c r="AZ9" s="638">
        <v>1</v>
      </c>
      <c r="BA9" s="58"/>
      <c r="BB9" s="167">
        <f t="shared" si="6"/>
        <v>0</v>
      </c>
      <c r="BC9" s="520"/>
      <c r="BD9" s="638">
        <v>1</v>
      </c>
      <c r="BE9" s="58"/>
      <c r="BF9" s="638">
        <v>1</v>
      </c>
      <c r="BG9" s="58"/>
      <c r="BH9" s="167">
        <f t="shared" si="7"/>
        <v>0</v>
      </c>
      <c r="BI9" s="520"/>
      <c r="BJ9" s="638">
        <v>2</v>
      </c>
      <c r="BK9" s="58"/>
      <c r="BL9" s="638">
        <v>2</v>
      </c>
      <c r="BM9" s="58"/>
      <c r="BN9" s="167">
        <f t="shared" si="8"/>
        <v>0</v>
      </c>
      <c r="BO9" s="520"/>
      <c r="BP9" s="638">
        <v>1</v>
      </c>
      <c r="BQ9" s="58"/>
      <c r="BR9" s="638">
        <v>1</v>
      </c>
      <c r="BS9" s="58"/>
      <c r="BT9" s="167">
        <f t="shared" si="9"/>
        <v>0</v>
      </c>
      <c r="BU9" s="520"/>
      <c r="BV9" s="638">
        <v>1</v>
      </c>
      <c r="BW9" s="58"/>
      <c r="BX9" s="638">
        <v>1</v>
      </c>
      <c r="BY9" s="58"/>
      <c r="BZ9" s="167">
        <f t="shared" si="10"/>
        <v>0</v>
      </c>
      <c r="CA9" s="18"/>
      <c r="CD9" s="582">
        <f t="shared" si="11"/>
        <v>0</v>
      </c>
      <c r="CE9" s="583"/>
      <c r="CF9" s="584"/>
      <c r="CG9" s="584">
        <v>0</v>
      </c>
      <c r="CH9" s="582">
        <f t="shared" si="12"/>
        <v>0</v>
      </c>
    </row>
    <row r="10" spans="1:88" s="2" customFormat="1">
      <c r="A10" s="1586"/>
      <c r="B10" s="1589"/>
      <c r="C10" s="50">
        <v>2.2999999999999998</v>
      </c>
      <c r="D10" s="17" t="s">
        <v>1336</v>
      </c>
      <c r="E10" s="495" t="s">
        <v>1241</v>
      </c>
      <c r="F10" s="51"/>
      <c r="G10" s="51"/>
      <c r="H10" s="50"/>
      <c r="I10" s="51"/>
      <c r="J10" s="573">
        <f t="shared" si="13"/>
        <v>0.1</v>
      </c>
      <c r="K10" s="433"/>
      <c r="L10" s="573">
        <f t="shared" si="14"/>
        <v>0.1</v>
      </c>
      <c r="M10" s="433"/>
      <c r="N10" s="512">
        <f t="shared" si="15"/>
        <v>0</v>
      </c>
      <c r="O10" s="65">
        <f t="shared" si="0"/>
        <v>0</v>
      </c>
      <c r="P10" s="510">
        <f t="shared" si="16"/>
        <v>0</v>
      </c>
      <c r="Q10" s="833">
        <f t="shared" si="17"/>
        <v>0</v>
      </c>
      <c r="R10" s="832">
        <f t="shared" si="18"/>
        <v>0</v>
      </c>
      <c r="S10" s="520"/>
      <c r="T10" s="638">
        <v>0</v>
      </c>
      <c r="U10" s="58"/>
      <c r="V10" s="638">
        <v>0</v>
      </c>
      <c r="W10" s="58"/>
      <c r="X10" s="167">
        <f t="shared" si="1"/>
        <v>0</v>
      </c>
      <c r="Y10" s="520"/>
      <c r="Z10" s="638">
        <v>0</v>
      </c>
      <c r="AA10" s="58"/>
      <c r="AB10" s="638">
        <v>0</v>
      </c>
      <c r="AC10" s="58"/>
      <c r="AD10" s="167">
        <f t="shared" si="2"/>
        <v>0</v>
      </c>
      <c r="AE10" s="520"/>
      <c r="AF10" s="638">
        <v>0</v>
      </c>
      <c r="AG10" s="58"/>
      <c r="AH10" s="638">
        <v>0</v>
      </c>
      <c r="AI10" s="58"/>
      <c r="AJ10" s="167">
        <f t="shared" si="3"/>
        <v>0</v>
      </c>
      <c r="AK10" s="520"/>
      <c r="AL10" s="638">
        <v>0</v>
      </c>
      <c r="AM10" s="58"/>
      <c r="AN10" s="638">
        <v>0</v>
      </c>
      <c r="AO10" s="58"/>
      <c r="AP10" s="167">
        <f t="shared" si="4"/>
        <v>0</v>
      </c>
      <c r="AQ10" s="520"/>
      <c r="AR10" s="638">
        <v>0</v>
      </c>
      <c r="AS10" s="58"/>
      <c r="AT10" s="638">
        <v>0</v>
      </c>
      <c r="AU10" s="58"/>
      <c r="AV10" s="167">
        <f t="shared" si="5"/>
        <v>0</v>
      </c>
      <c r="AW10" s="520"/>
      <c r="AX10" s="638">
        <v>0</v>
      </c>
      <c r="AY10" s="58"/>
      <c r="AZ10" s="638">
        <v>0</v>
      </c>
      <c r="BA10" s="58"/>
      <c r="BB10" s="167">
        <f t="shared" si="6"/>
        <v>0</v>
      </c>
      <c r="BC10" s="520"/>
      <c r="BD10" s="638">
        <v>0</v>
      </c>
      <c r="BE10" s="58"/>
      <c r="BF10" s="638">
        <v>0</v>
      </c>
      <c r="BG10" s="58"/>
      <c r="BH10" s="167">
        <f t="shared" si="7"/>
        <v>0</v>
      </c>
      <c r="BI10" s="520"/>
      <c r="BJ10" s="638">
        <v>0</v>
      </c>
      <c r="BK10" s="58"/>
      <c r="BL10" s="638">
        <v>0</v>
      </c>
      <c r="BM10" s="58"/>
      <c r="BN10" s="167">
        <f t="shared" si="8"/>
        <v>0</v>
      </c>
      <c r="BO10" s="520"/>
      <c r="BP10" s="638">
        <v>1</v>
      </c>
      <c r="BQ10" s="58"/>
      <c r="BR10" s="638">
        <v>1</v>
      </c>
      <c r="BS10" s="58"/>
      <c r="BT10" s="167">
        <f t="shared" si="9"/>
        <v>0</v>
      </c>
      <c r="BU10" s="520"/>
      <c r="BV10" s="638">
        <v>0</v>
      </c>
      <c r="BW10" s="58"/>
      <c r="BX10" s="638">
        <v>0</v>
      </c>
      <c r="BY10" s="58"/>
      <c r="BZ10" s="167">
        <f t="shared" si="10"/>
        <v>0</v>
      </c>
      <c r="CA10" s="18"/>
      <c r="CD10" s="582">
        <f t="shared" si="11"/>
        <v>0</v>
      </c>
      <c r="CE10" s="583"/>
      <c r="CF10" s="584"/>
      <c r="CG10" s="584">
        <v>0</v>
      </c>
      <c r="CH10" s="582">
        <f t="shared" si="12"/>
        <v>0</v>
      </c>
    </row>
    <row r="11" spans="1:88" s="2" customFormat="1">
      <c r="A11" s="263" t="s">
        <v>1337</v>
      </c>
      <c r="B11" s="263" t="s">
        <v>1338</v>
      </c>
      <c r="C11" s="13">
        <v>3</v>
      </c>
      <c r="D11" s="20" t="s">
        <v>2195</v>
      </c>
      <c r="E11" s="495" t="s">
        <v>1241</v>
      </c>
      <c r="F11" s="51"/>
      <c r="G11" s="51" t="s">
        <v>1225</v>
      </c>
      <c r="H11" s="50" t="s">
        <v>1329</v>
      </c>
      <c r="I11" s="503">
        <v>3</v>
      </c>
      <c r="J11" s="573">
        <f t="shared" si="13"/>
        <v>11</v>
      </c>
      <c r="K11" s="433">
        <f>AVERAGE(BW11,BQ11,BK11,BE11,AY11,AS11,AM11,AG11,AA11,U11)</f>
        <v>3</v>
      </c>
      <c r="L11" s="573">
        <f t="shared" si="14"/>
        <v>11</v>
      </c>
      <c r="M11" s="433">
        <f>AVERAGE(BY11,BS11,BM11,BG11,BA11,AU11,AO11,AI11,AC11,W11)</f>
        <v>3</v>
      </c>
      <c r="N11" s="512">
        <f t="shared" si="15"/>
        <v>0</v>
      </c>
      <c r="O11" s="65">
        <f t="shared" si="0"/>
        <v>0</v>
      </c>
      <c r="P11" s="510">
        <f t="shared" si="16"/>
        <v>0</v>
      </c>
      <c r="Q11" s="833">
        <f t="shared" si="17"/>
        <v>0</v>
      </c>
      <c r="R11" s="832">
        <f t="shared" si="18"/>
        <v>0</v>
      </c>
      <c r="S11" s="520"/>
      <c r="T11" s="638">
        <v>11</v>
      </c>
      <c r="U11" s="631">
        <f>IF(T11&gt;=3,3,IF(T11&gt;0,1.5,0))</f>
        <v>3</v>
      </c>
      <c r="V11" s="638">
        <v>11</v>
      </c>
      <c r="W11" s="631">
        <f>IF(V11&gt;=3,3,IF(V11&gt;0,1.5,0))</f>
        <v>3</v>
      </c>
      <c r="X11" s="167">
        <f t="shared" si="1"/>
        <v>0</v>
      </c>
      <c r="Y11" s="520"/>
      <c r="Z11" s="638">
        <v>11</v>
      </c>
      <c r="AA11" s="631">
        <f>IF(Z11&gt;=3,3,IF(Z11&gt;0,1.5,0))</f>
        <v>3</v>
      </c>
      <c r="AB11" s="638">
        <v>11</v>
      </c>
      <c r="AC11" s="631">
        <f>IF(AB11&gt;=3,3,IF(AB11&gt;0,1.5,0))</f>
        <v>3</v>
      </c>
      <c r="AD11" s="167">
        <f t="shared" si="2"/>
        <v>0</v>
      </c>
      <c r="AE11" s="520"/>
      <c r="AF11" s="638">
        <v>11</v>
      </c>
      <c r="AG11" s="631">
        <f>IF(AF11&gt;=3,3,IF(AF11&gt;0,1.5,0))</f>
        <v>3</v>
      </c>
      <c r="AH11" s="638">
        <v>11</v>
      </c>
      <c r="AI11" s="631">
        <f>IF(AH11&gt;=3,3,IF(AH11&gt;0,1.5,0))</f>
        <v>3</v>
      </c>
      <c r="AJ11" s="167">
        <f t="shared" si="3"/>
        <v>0</v>
      </c>
      <c r="AK11" s="520"/>
      <c r="AL11" s="638">
        <v>11</v>
      </c>
      <c r="AM11" s="631">
        <f>IF(AL11&gt;=3,3,IF(AL11&gt;0,1.5,0))</f>
        <v>3</v>
      </c>
      <c r="AN11" s="638">
        <v>11</v>
      </c>
      <c r="AO11" s="631">
        <f>IF(AN11&gt;=3,3,IF(AN11&gt;0,1.5,0))</f>
        <v>3</v>
      </c>
      <c r="AP11" s="167">
        <f t="shared" si="4"/>
        <v>0</v>
      </c>
      <c r="AQ11" s="520"/>
      <c r="AR11" s="638">
        <v>11</v>
      </c>
      <c r="AS11" s="631">
        <f>IF(AR11&gt;=3,3,IF(AR11&gt;0,1.5,0))</f>
        <v>3</v>
      </c>
      <c r="AT11" s="638">
        <v>11</v>
      </c>
      <c r="AU11" s="631">
        <f>IF(AT11&gt;=3,3,IF(AT11&gt;0,1.5,0))</f>
        <v>3</v>
      </c>
      <c r="AV11" s="167">
        <f t="shared" si="5"/>
        <v>0</v>
      </c>
      <c r="AW11" s="520"/>
      <c r="AX11" s="638">
        <v>11</v>
      </c>
      <c r="AY11" s="631">
        <f>IF(AX11&gt;=3,3,IF(AX11&gt;0,1.5,0))</f>
        <v>3</v>
      </c>
      <c r="AZ11" s="638">
        <v>11</v>
      </c>
      <c r="BA11" s="631">
        <f>IF(AZ11&gt;=3,3,IF(AZ11&gt;0,1.5,0))</f>
        <v>3</v>
      </c>
      <c r="BB11" s="167">
        <f t="shared" si="6"/>
        <v>0</v>
      </c>
      <c r="BC11" s="520"/>
      <c r="BD11" s="638">
        <v>11</v>
      </c>
      <c r="BE11" s="631">
        <f>IF(BD11&gt;=3,3,IF(BD11&gt;0,1.5,0))</f>
        <v>3</v>
      </c>
      <c r="BF11" s="638">
        <v>11</v>
      </c>
      <c r="BG11" s="631">
        <f>IF(BF11&gt;=3,3,IF(BF11&gt;0,1.5,0))</f>
        <v>3</v>
      </c>
      <c r="BH11" s="167">
        <f t="shared" si="7"/>
        <v>0</v>
      </c>
      <c r="BI11" s="520"/>
      <c r="BJ11" s="638">
        <v>11</v>
      </c>
      <c r="BK11" s="631">
        <f>IF(BJ11&gt;=3,3,IF(BJ11&gt;0,1.5,0))</f>
        <v>3</v>
      </c>
      <c r="BL11" s="638">
        <v>11</v>
      </c>
      <c r="BM11" s="631">
        <f>IF(BL11&gt;=3,3,IF(BL11&gt;0,1.5,0))</f>
        <v>3</v>
      </c>
      <c r="BN11" s="167">
        <f t="shared" si="8"/>
        <v>0</v>
      </c>
      <c r="BO11" s="520"/>
      <c r="BP11" s="638">
        <v>11</v>
      </c>
      <c r="BQ11" s="631">
        <f>IF(BP11&gt;=3,3,IF(BP11&gt;0,1.5,0))</f>
        <v>3</v>
      </c>
      <c r="BR11" s="638">
        <v>11</v>
      </c>
      <c r="BS11" s="631">
        <f>IF(BR11&gt;=3,3,IF(BR11&gt;0,1.5,0))</f>
        <v>3</v>
      </c>
      <c r="BT11" s="167">
        <f t="shared" si="9"/>
        <v>0</v>
      </c>
      <c r="BU11" s="520"/>
      <c r="BV11" s="638">
        <v>11</v>
      </c>
      <c r="BW11" s="631">
        <f>IF(BV11&gt;=3,3,IF(BV11&gt;0,1.5,0))</f>
        <v>3</v>
      </c>
      <c r="BX11" s="638">
        <v>11</v>
      </c>
      <c r="BY11" s="631">
        <f>IF(BX11&gt;=3,3,IF(BX11&gt;0,1.5,0))</f>
        <v>3</v>
      </c>
      <c r="BZ11" s="167">
        <f t="shared" si="10"/>
        <v>0</v>
      </c>
      <c r="CA11" s="18"/>
      <c r="CD11" s="582">
        <f t="shared" si="11"/>
        <v>3</v>
      </c>
      <c r="CE11" s="583">
        <v>1</v>
      </c>
      <c r="CF11" s="584">
        <f>M11</f>
        <v>3</v>
      </c>
      <c r="CG11" s="584">
        <v>0</v>
      </c>
      <c r="CH11" s="582">
        <f t="shared" si="12"/>
        <v>0</v>
      </c>
    </row>
    <row r="12" spans="1:88" s="2" customFormat="1">
      <c r="A12" s="262" t="s">
        <v>1339</v>
      </c>
      <c r="B12" s="262" t="s">
        <v>1340</v>
      </c>
      <c r="C12" s="13">
        <v>4</v>
      </c>
      <c r="D12" s="20" t="s">
        <v>158</v>
      </c>
      <c r="E12" s="495" t="s">
        <v>541</v>
      </c>
      <c r="F12" s="51"/>
      <c r="G12" s="51" t="s">
        <v>486</v>
      </c>
      <c r="H12" s="50" t="s">
        <v>1329</v>
      </c>
      <c r="I12" s="503">
        <v>4</v>
      </c>
      <c r="J12" s="502" t="s">
        <v>1341</v>
      </c>
      <c r="K12" s="433">
        <f>AVERAGE(BW12,BQ12,BK12,BE12,AY12,AS12,AM12,AG12,AA12,U12)</f>
        <v>4</v>
      </c>
      <c r="L12" s="502" t="s">
        <v>1341</v>
      </c>
      <c r="M12" s="433">
        <f>AVERAGE(BY12,BS12,BM12,BG12,BA12,AU12,AO12,AI12,AC12,W12)</f>
        <v>4</v>
      </c>
      <c r="N12" s="512">
        <f t="shared" si="15"/>
        <v>0</v>
      </c>
      <c r="O12" s="65">
        <f t="shared" si="0"/>
        <v>0</v>
      </c>
      <c r="P12" s="510">
        <f t="shared" si="16"/>
        <v>0</v>
      </c>
      <c r="Q12" s="833">
        <f t="shared" si="17"/>
        <v>0</v>
      </c>
      <c r="R12" s="832">
        <f t="shared" si="18"/>
        <v>0</v>
      </c>
      <c r="S12" s="520"/>
      <c r="T12" s="638" t="s">
        <v>1341</v>
      </c>
      <c r="U12" s="631">
        <v>4</v>
      </c>
      <c r="V12" s="638" t="s">
        <v>1341</v>
      </c>
      <c r="W12" s="631">
        <v>4</v>
      </c>
      <c r="X12" s="167">
        <f>IF((V12=T12)=TRUE,0,1)</f>
        <v>0</v>
      </c>
      <c r="Y12" s="520"/>
      <c r="Z12" s="638" t="s">
        <v>1341</v>
      </c>
      <c r="AA12" s="631">
        <v>4</v>
      </c>
      <c r="AB12" s="638" t="s">
        <v>1341</v>
      </c>
      <c r="AC12" s="631">
        <v>4</v>
      </c>
      <c r="AD12" s="167">
        <f>IF((AB12=Z12)=TRUE,0,1)</f>
        <v>0</v>
      </c>
      <c r="AE12" s="520"/>
      <c r="AF12" s="638" t="s">
        <v>1341</v>
      </c>
      <c r="AG12" s="631">
        <v>4</v>
      </c>
      <c r="AH12" s="638" t="s">
        <v>1341</v>
      </c>
      <c r="AI12" s="631">
        <v>4</v>
      </c>
      <c r="AJ12" s="167">
        <f>IF((AH12=AF12)=TRUE,0,1)</f>
        <v>0</v>
      </c>
      <c r="AK12" s="520"/>
      <c r="AL12" s="638" t="s">
        <v>1341</v>
      </c>
      <c r="AM12" s="631">
        <v>4</v>
      </c>
      <c r="AN12" s="638" t="s">
        <v>1341</v>
      </c>
      <c r="AO12" s="631">
        <v>4</v>
      </c>
      <c r="AP12" s="167">
        <f>IF((AN12=AL12)=TRUE,0,1)</f>
        <v>0</v>
      </c>
      <c r="AQ12" s="520"/>
      <c r="AR12" s="638" t="s">
        <v>1341</v>
      </c>
      <c r="AS12" s="631">
        <v>4</v>
      </c>
      <c r="AT12" s="638" t="s">
        <v>1341</v>
      </c>
      <c r="AU12" s="631">
        <v>4</v>
      </c>
      <c r="AV12" s="167">
        <f>IF((AT12=AR12)=TRUE,0,1)</f>
        <v>0</v>
      </c>
      <c r="AW12" s="520"/>
      <c r="AX12" s="638" t="s">
        <v>1341</v>
      </c>
      <c r="AY12" s="631">
        <v>4</v>
      </c>
      <c r="AZ12" s="638" t="s">
        <v>1341</v>
      </c>
      <c r="BA12" s="631">
        <v>4</v>
      </c>
      <c r="BB12" s="167">
        <f>IF((AZ12=AX12)=TRUE,0,1)</f>
        <v>0</v>
      </c>
      <c r="BC12" s="520"/>
      <c r="BD12" s="638" t="s">
        <v>1341</v>
      </c>
      <c r="BE12" s="631">
        <v>4</v>
      </c>
      <c r="BF12" s="638" t="s">
        <v>1341</v>
      </c>
      <c r="BG12" s="631">
        <v>4</v>
      </c>
      <c r="BH12" s="167">
        <f>IF((BF12=BD12)=TRUE,0,1)</f>
        <v>0</v>
      </c>
      <c r="BI12" s="520"/>
      <c r="BJ12" s="638" t="s">
        <v>1341</v>
      </c>
      <c r="BK12" s="631">
        <v>4</v>
      </c>
      <c r="BL12" s="638" t="s">
        <v>1341</v>
      </c>
      <c r="BM12" s="631">
        <v>4</v>
      </c>
      <c r="BN12" s="167">
        <f>IF((BL12=BJ12)=TRUE,0,1)</f>
        <v>0</v>
      </c>
      <c r="BO12" s="520"/>
      <c r="BP12" s="638" t="s">
        <v>1341</v>
      </c>
      <c r="BQ12" s="631">
        <v>4</v>
      </c>
      <c r="BR12" s="638" t="s">
        <v>1341</v>
      </c>
      <c r="BS12" s="631">
        <v>4</v>
      </c>
      <c r="BT12" s="167">
        <f>IF((BR12=BP12)=TRUE,0,1)</f>
        <v>0</v>
      </c>
      <c r="BU12" s="520"/>
      <c r="BV12" s="638" t="s">
        <v>1341</v>
      </c>
      <c r="BW12" s="631">
        <v>4</v>
      </c>
      <c r="BX12" s="638" t="s">
        <v>1341</v>
      </c>
      <c r="BY12" s="631">
        <v>4</v>
      </c>
      <c r="BZ12" s="167">
        <f>IF((BX12=BV12)=TRUE,0,1)</f>
        <v>0</v>
      </c>
      <c r="CA12" s="18"/>
      <c r="CD12" s="582">
        <f t="shared" si="11"/>
        <v>4</v>
      </c>
      <c r="CE12" s="583">
        <v>1</v>
      </c>
      <c r="CF12" s="584">
        <f>M12</f>
        <v>4</v>
      </c>
      <c r="CG12" s="584">
        <v>0</v>
      </c>
      <c r="CH12" s="582">
        <f t="shared" si="12"/>
        <v>0</v>
      </c>
    </row>
    <row r="13" spans="1:88" s="2" customFormat="1">
      <c r="A13" s="1607" t="s">
        <v>1343</v>
      </c>
      <c r="B13" s="1608" t="s">
        <v>1344</v>
      </c>
      <c r="C13" s="13">
        <v>5</v>
      </c>
      <c r="D13" s="20" t="s">
        <v>1342</v>
      </c>
      <c r="E13" s="495"/>
      <c r="F13" s="51"/>
      <c r="G13" s="51" t="s">
        <v>1308</v>
      </c>
      <c r="H13" s="50" t="s">
        <v>1329</v>
      </c>
      <c r="I13" s="503">
        <v>6</v>
      </c>
      <c r="J13" s="573">
        <f t="shared" ref="J13:J35" si="19">AVERAGE(BV13,BP13,BJ13,BD13,AX13,AR13,AL13,AF13,Z13,T13)</f>
        <v>0.25303684964415135</v>
      </c>
      <c r="K13" s="433">
        <f>AVERAGE(BW13,BQ13,BK13,BE13,AY13,AS13,AM13,AG13,AA13,U13)</f>
        <v>6</v>
      </c>
      <c r="L13" s="573">
        <f t="shared" ref="L13:L35" si="20">AVERAGE(BX13,BR13,BL13,BF13,AZ13,AT13,AN13,AH13,AB13,V13)</f>
        <v>0.29596995402900411</v>
      </c>
      <c r="M13" s="433">
        <f>AVERAGE(BY13,BS13,BM13,BG13,BA13,AU13,AO13,AI13,AC13,W13)</f>
        <v>6</v>
      </c>
      <c r="N13" s="512">
        <f t="shared" si="15"/>
        <v>0</v>
      </c>
      <c r="O13" s="65">
        <f t="shared" si="0"/>
        <v>0</v>
      </c>
      <c r="P13" s="510">
        <f t="shared" si="16"/>
        <v>0</v>
      </c>
      <c r="Q13" s="833">
        <f t="shared" si="17"/>
        <v>0</v>
      </c>
      <c r="R13" s="832">
        <f t="shared" si="18"/>
        <v>0</v>
      </c>
      <c r="S13" s="520"/>
      <c r="T13" s="570">
        <f>ROUND(T14,0)/ROUND(T15,0)</f>
        <v>0.35483870967741937</v>
      </c>
      <c r="U13" s="246">
        <f>IF(T13&lt;=10,6,IF(T13&lt;=15,2,0))</f>
        <v>6</v>
      </c>
      <c r="V13" s="570">
        <f>ROUND(V14,0)/ROUND(V15,0)</f>
        <v>0.33333333333333331</v>
      </c>
      <c r="W13" s="246">
        <f>IF(V13&lt;=10,6,IF(V13&lt;=15,2,0))</f>
        <v>6</v>
      </c>
      <c r="X13" s="167">
        <f t="shared" ref="X13:X35" si="21">IF(AND(T13=0,V13&lt;&gt;0),1,IF(AND(T13=0,V13=0),0,V13/T13-1))</f>
        <v>-6.0606060606060663E-2</v>
      </c>
      <c r="Y13" s="520"/>
      <c r="Z13" s="570">
        <f>ROUND(Z14,0)/ROUND(Z15,0)</f>
        <v>0.16842105263157894</v>
      </c>
      <c r="AA13" s="246">
        <f>IF(Z13&lt;=10,6,IF(Z13&lt;=15,2,0))</f>
        <v>6</v>
      </c>
      <c r="AB13" s="570">
        <f>ROUND(AB14,0)/ROUND(AB15,0)</f>
        <v>0.21487603305785125</v>
      </c>
      <c r="AC13" s="246">
        <f>IF(AB13&lt;=10,6,IF(AB13&lt;=15,2,0))</f>
        <v>6</v>
      </c>
      <c r="AD13" s="167">
        <f t="shared" ref="AD13:AD35" si="22">IF(AND(Z13=0,AB13&lt;&gt;0),1,IF(AND(Z13=0,AB13=0),0,AB13/Z13-1))</f>
        <v>0.27582644628099184</v>
      </c>
      <c r="AE13" s="520"/>
      <c r="AF13" s="570">
        <f>ROUND(AF14,0)/ROUND(AF15,0)</f>
        <v>0.21739130434782608</v>
      </c>
      <c r="AG13" s="246">
        <f>IF(AF13&lt;=10,6,IF(AF13&lt;=15,2,0))</f>
        <v>6</v>
      </c>
      <c r="AH13" s="570">
        <f>ROUND(AH14,0)/ROUND(AH15,0)</f>
        <v>0.14723926380368099</v>
      </c>
      <c r="AI13" s="246">
        <f>IF(AH13&lt;=10,6,IF(AH13&lt;=15,2,0))</f>
        <v>6</v>
      </c>
      <c r="AJ13" s="167">
        <f t="shared" ref="AJ13:AJ35" si="23">IF(AND(AF13=0,AH13&lt;&gt;0),1,IF(AND(AF13=0,AH13=0),0,AH13/AF13-1))</f>
        <v>-0.3226993865030674</v>
      </c>
      <c r="AK13" s="520"/>
      <c r="AL13" s="570">
        <f>ROUND(AL14,0)/ROUND(AL15,0)</f>
        <v>0.23636363636363636</v>
      </c>
      <c r="AM13" s="246">
        <f>IF(AL13&lt;=10,6,IF(AL13&lt;=15,2,0))</f>
        <v>6</v>
      </c>
      <c r="AN13" s="570">
        <f>ROUND(AN14,0)/ROUND(AN15,0)</f>
        <v>0.625</v>
      </c>
      <c r="AO13" s="246">
        <f>IF(AN13&lt;=10,6,IF(AN13&lt;=15,2,0))</f>
        <v>6</v>
      </c>
      <c r="AP13" s="167">
        <f t="shared" ref="AP13:AP35" si="24">IF(AND(AL13=0,AN13&lt;&gt;0),1,IF(AND(AL13=0,AN13=0),0,AN13/AL13-1))</f>
        <v>1.6442307692307692</v>
      </c>
      <c r="AQ13" s="520"/>
      <c r="AR13" s="570">
        <f>ROUND(AR14,0)/ROUND(AR15,0)</f>
        <v>0.25720164609053497</v>
      </c>
      <c r="AS13" s="246">
        <f>IF(AR13&lt;=10,6,IF(AR13&lt;=15,2,0))</f>
        <v>6</v>
      </c>
      <c r="AT13" s="570">
        <f>ROUND(AT14,0)/ROUND(AT15,0)</f>
        <v>0.22661122661122662</v>
      </c>
      <c r="AU13" s="246">
        <f>IF(AT13&lt;=10,6,IF(AT13&lt;=15,2,0))</f>
        <v>6</v>
      </c>
      <c r="AV13" s="167">
        <f t="shared" ref="AV13:AV35" si="25">IF(AND(AR13=0,AT13&lt;&gt;0),1,IF(AND(AR13=0,AT13=0),0,AT13/AR13-1))</f>
        <v>-0.11893555093555086</v>
      </c>
      <c r="AW13" s="520"/>
      <c r="AX13" s="570">
        <f>ROUND(AX14,0)/ROUND(AX15,0)</f>
        <v>0.10820895522388059</v>
      </c>
      <c r="AY13" s="246">
        <f>IF(AX13&lt;=10,6,IF(AX13&lt;=15,2,0))</f>
        <v>6</v>
      </c>
      <c r="AZ13" s="570">
        <f>ROUND(AZ14,0)/ROUND(AZ15,0)</f>
        <v>0.16188870151770657</v>
      </c>
      <c r="BA13" s="246">
        <f>IF(AZ13&lt;=10,6,IF(AZ13&lt;=15,2,0))</f>
        <v>6</v>
      </c>
      <c r="BB13" s="167">
        <f t="shared" ref="BB13:BB35" si="26">IF(AND(AX13=0,AZ13&lt;&gt;0),1,IF(AND(AX13=0,AZ13=0),0,AZ13/AX13-1))</f>
        <v>0.49607489678432293</v>
      </c>
      <c r="BC13" s="520"/>
      <c r="BD13" s="570">
        <f>ROUND(BD14,0)/ROUND(BD15,0)</f>
        <v>0.27906976744186046</v>
      </c>
      <c r="BE13" s="246">
        <f>IF(BD13&lt;=10,6,IF(BD13&lt;=15,2,0))</f>
        <v>6</v>
      </c>
      <c r="BF13" s="570">
        <f>ROUND(BF14,0)/ROUND(BF15,0)</f>
        <v>0.48837209302325579</v>
      </c>
      <c r="BG13" s="246">
        <f>IF(BF13&lt;=10,6,IF(BF13&lt;=15,2,0))</f>
        <v>6</v>
      </c>
      <c r="BH13" s="167">
        <f t="shared" ref="BH13:BH35" si="27">IF(AND(BD13=0,BF13&lt;&gt;0),1,IF(AND(BD13=0,BF13=0),0,BF13/BD13-1))</f>
        <v>0.75</v>
      </c>
      <c r="BI13" s="520"/>
      <c r="BJ13" s="570">
        <f>ROUND(BJ14,0)/ROUND(BJ15,0)</f>
        <v>0.17571059431524547</v>
      </c>
      <c r="BK13" s="246">
        <f>IF(BJ13&lt;=10,6,IF(BJ13&lt;=15,2,0))</f>
        <v>6</v>
      </c>
      <c r="BL13" s="570">
        <f>ROUND(BL14,0)/ROUND(BL15,0)</f>
        <v>0.18421052631578946</v>
      </c>
      <c r="BM13" s="246">
        <f>IF(BL13&lt;=10,6,IF(BL13&lt;=15,2,0))</f>
        <v>6</v>
      </c>
      <c r="BN13" s="167">
        <f t="shared" ref="BN13:BN35" si="28">IF(AND(BJ13=0,BL13&lt;&gt;0),1,IF(AND(BJ13=0,BL13=0),0,BL13/BJ13-1))</f>
        <v>4.8374613003095979E-2</v>
      </c>
      <c r="BO13" s="520"/>
      <c r="BP13" s="570">
        <f>ROUND(BP14,0)/ROUND(BP15,0)</f>
        <v>0.47826086956521741</v>
      </c>
      <c r="BQ13" s="246">
        <f>IF(BP13&lt;=10,6,IF(BP13&lt;=15,2,0))</f>
        <v>6</v>
      </c>
      <c r="BR13" s="570">
        <f>ROUND(BR14,0)/ROUND(BR15,0)</f>
        <v>0.40425531914893614</v>
      </c>
      <c r="BS13" s="246">
        <f>IF(BR13&lt;=10,6,IF(BR13&lt;=15,2,0))</f>
        <v>6</v>
      </c>
      <c r="BT13" s="167">
        <f t="shared" ref="BT13:BT35" si="29">IF(AND(BP13=0,BR13&lt;&gt;0),1,IF(AND(BP13=0,BR13=0),0,BR13/BP13-1))</f>
        <v>-0.15473887814313358</v>
      </c>
      <c r="BU13" s="520"/>
      <c r="BV13" s="570">
        <f>ROUND(BV14,0)/ROUND(BV15,0)</f>
        <v>0.25490196078431371</v>
      </c>
      <c r="BW13" s="246">
        <f>IF(BV13&lt;=10,6,IF(BV13&lt;=15,2,0))</f>
        <v>6</v>
      </c>
      <c r="BX13" s="570">
        <f>ROUND(BX14,0)/ROUND(BX15,0)</f>
        <v>0.17391304347826086</v>
      </c>
      <c r="BY13" s="246">
        <f>IF(BX13&lt;=10,6,IF(BX13&lt;=15,2,0))</f>
        <v>6</v>
      </c>
      <c r="BZ13" s="167">
        <f t="shared" ref="BZ13:BZ35" si="30">IF(AND(BV13=0,BX13&lt;&gt;0),1,IF(AND(BV13=0,BX13=0),0,BX13/BV13-1))</f>
        <v>-0.31772575250836121</v>
      </c>
      <c r="CA13" s="18"/>
      <c r="CD13" s="582">
        <f t="shared" si="11"/>
        <v>6</v>
      </c>
      <c r="CE13" s="583">
        <v>1</v>
      </c>
      <c r="CF13" s="584">
        <f>M13</f>
        <v>6</v>
      </c>
      <c r="CG13" s="584">
        <v>0</v>
      </c>
      <c r="CH13" s="582">
        <f t="shared" si="12"/>
        <v>0</v>
      </c>
    </row>
    <row r="14" spans="1:88" s="2" customFormat="1">
      <c r="A14" s="1585"/>
      <c r="B14" s="1588"/>
      <c r="C14" s="50">
        <v>5.0999999999999996</v>
      </c>
      <c r="D14" s="17" t="s">
        <v>1345</v>
      </c>
      <c r="E14" s="495" t="s">
        <v>1241</v>
      </c>
      <c r="F14" s="45" t="s">
        <v>1346</v>
      </c>
      <c r="G14" s="51"/>
      <c r="H14" s="50"/>
      <c r="I14" s="51"/>
      <c r="J14" s="573">
        <f t="shared" si="19"/>
        <v>42.364000000000004</v>
      </c>
      <c r="K14" s="433"/>
      <c r="L14" s="573">
        <f t="shared" si="20"/>
        <v>47.232999999999997</v>
      </c>
      <c r="M14" s="433"/>
      <c r="N14" s="512">
        <f t="shared" si="15"/>
        <v>0</v>
      </c>
      <c r="O14" s="65">
        <f t="shared" si="0"/>
        <v>0</v>
      </c>
      <c r="P14" s="510">
        <f t="shared" si="16"/>
        <v>0</v>
      </c>
      <c r="Q14" s="833">
        <f t="shared" si="17"/>
        <v>0</v>
      </c>
      <c r="R14" s="832">
        <f t="shared" si="18"/>
        <v>0</v>
      </c>
      <c r="S14" s="520"/>
      <c r="T14" s="638">
        <v>10.5</v>
      </c>
      <c r="U14" s="58"/>
      <c r="V14" s="638">
        <v>7.06</v>
      </c>
      <c r="W14" s="58"/>
      <c r="X14" s="167">
        <f t="shared" si="21"/>
        <v>-0.3276190476190477</v>
      </c>
      <c r="Y14" s="520"/>
      <c r="Z14" s="638">
        <v>32.01</v>
      </c>
      <c r="AA14" s="58"/>
      <c r="AB14" s="638">
        <v>51.74</v>
      </c>
      <c r="AC14" s="58"/>
      <c r="AD14" s="167">
        <f t="shared" si="22"/>
        <v>0.61636988441112162</v>
      </c>
      <c r="AE14" s="520"/>
      <c r="AF14" s="638">
        <v>69.67</v>
      </c>
      <c r="AG14" s="58"/>
      <c r="AH14" s="638">
        <v>47.69</v>
      </c>
      <c r="AI14" s="58"/>
      <c r="AJ14" s="167">
        <f t="shared" si="23"/>
        <v>-0.31548729725850444</v>
      </c>
      <c r="AK14" s="520"/>
      <c r="AL14" s="638">
        <v>13.25</v>
      </c>
      <c r="AM14" s="58"/>
      <c r="AN14" s="638">
        <v>30.38</v>
      </c>
      <c r="AO14" s="58"/>
      <c r="AP14" s="167">
        <f t="shared" si="24"/>
        <v>1.292830188679245</v>
      </c>
      <c r="AQ14" s="520"/>
      <c r="AR14" s="638">
        <v>125.16</v>
      </c>
      <c r="AS14" s="58"/>
      <c r="AT14" s="638">
        <v>109.27</v>
      </c>
      <c r="AU14" s="58"/>
      <c r="AV14" s="167">
        <f t="shared" si="25"/>
        <v>-0.12695749440715887</v>
      </c>
      <c r="AW14" s="520"/>
      <c r="AX14" s="638">
        <v>58.02</v>
      </c>
      <c r="AY14" s="58"/>
      <c r="AZ14" s="638">
        <v>96.47</v>
      </c>
      <c r="BA14" s="58"/>
      <c r="BB14" s="167">
        <f t="shared" si="26"/>
        <v>0.66270251637366417</v>
      </c>
      <c r="BC14" s="520"/>
      <c r="BD14" s="638">
        <v>11.77</v>
      </c>
      <c r="BE14" s="58"/>
      <c r="BF14" s="638">
        <v>21.04</v>
      </c>
      <c r="BG14" s="58"/>
      <c r="BH14" s="167">
        <f t="shared" si="27"/>
        <v>0.78759558198810531</v>
      </c>
      <c r="BI14" s="520"/>
      <c r="BJ14" s="638">
        <v>68.290000000000006</v>
      </c>
      <c r="BK14" s="58"/>
      <c r="BL14" s="638">
        <v>77.459999999999994</v>
      </c>
      <c r="BM14" s="58"/>
      <c r="BN14" s="167">
        <f t="shared" si="28"/>
        <v>0.13428027529652931</v>
      </c>
      <c r="BO14" s="520"/>
      <c r="BP14" s="638">
        <v>22.12</v>
      </c>
      <c r="BQ14" s="58"/>
      <c r="BR14" s="638">
        <v>18.920000000000002</v>
      </c>
      <c r="BS14" s="58"/>
      <c r="BT14" s="167">
        <f t="shared" si="29"/>
        <v>-0.1446654611211573</v>
      </c>
      <c r="BU14" s="520"/>
      <c r="BV14" s="638">
        <v>12.85</v>
      </c>
      <c r="BW14" s="58"/>
      <c r="BX14" s="638">
        <v>12.3</v>
      </c>
      <c r="BY14" s="58"/>
      <c r="BZ14" s="167">
        <f t="shared" si="30"/>
        <v>-4.2801556420233422E-2</v>
      </c>
      <c r="CA14" s="18"/>
      <c r="CD14" s="582">
        <f t="shared" si="11"/>
        <v>0</v>
      </c>
      <c r="CE14" s="583"/>
      <c r="CF14" s="584"/>
      <c r="CG14" s="584">
        <v>0</v>
      </c>
      <c r="CH14" s="582">
        <f t="shared" si="12"/>
        <v>0</v>
      </c>
    </row>
    <row r="15" spans="1:88" s="2" customFormat="1">
      <c r="A15" s="1586"/>
      <c r="B15" s="1589"/>
      <c r="C15" s="502">
        <v>5.2</v>
      </c>
      <c r="D15" s="17" t="s">
        <v>1347</v>
      </c>
      <c r="E15" s="495" t="s">
        <v>1241</v>
      </c>
      <c r="F15" s="45" t="s">
        <v>1346</v>
      </c>
      <c r="G15" s="51"/>
      <c r="H15" s="50"/>
      <c r="I15" s="51"/>
      <c r="J15" s="573">
        <f t="shared" si="19"/>
        <v>214.7</v>
      </c>
      <c r="K15" s="433"/>
      <c r="L15" s="573">
        <f t="shared" si="20"/>
        <v>228.8</v>
      </c>
      <c r="M15" s="433"/>
      <c r="N15" s="512">
        <f t="shared" si="15"/>
        <v>0</v>
      </c>
      <c r="O15" s="65">
        <f t="shared" si="0"/>
        <v>0</v>
      </c>
      <c r="P15" s="510">
        <f t="shared" si="16"/>
        <v>0</v>
      </c>
      <c r="Q15" s="833">
        <f t="shared" si="17"/>
        <v>0</v>
      </c>
      <c r="R15" s="832">
        <f t="shared" si="18"/>
        <v>0</v>
      </c>
      <c r="S15" s="520"/>
      <c r="T15" s="638">
        <v>31</v>
      </c>
      <c r="U15" s="58"/>
      <c r="V15" s="638">
        <v>21</v>
      </c>
      <c r="W15" s="58"/>
      <c r="X15" s="167">
        <f t="shared" si="21"/>
        <v>-0.32258064516129037</v>
      </c>
      <c r="Y15" s="520"/>
      <c r="Z15" s="638">
        <v>190</v>
      </c>
      <c r="AA15" s="58"/>
      <c r="AB15" s="638">
        <v>242</v>
      </c>
      <c r="AC15" s="58"/>
      <c r="AD15" s="167">
        <f t="shared" si="22"/>
        <v>0.27368421052631575</v>
      </c>
      <c r="AE15" s="520"/>
      <c r="AF15" s="638">
        <v>322</v>
      </c>
      <c r="AG15" s="58"/>
      <c r="AH15" s="638">
        <v>326</v>
      </c>
      <c r="AI15" s="58"/>
      <c r="AJ15" s="167">
        <f t="shared" si="23"/>
        <v>1.2422360248447228E-2</v>
      </c>
      <c r="AK15" s="520"/>
      <c r="AL15" s="638">
        <v>55</v>
      </c>
      <c r="AM15" s="58"/>
      <c r="AN15" s="638">
        <v>48</v>
      </c>
      <c r="AO15" s="58"/>
      <c r="AP15" s="167">
        <f t="shared" si="24"/>
        <v>-0.12727272727272732</v>
      </c>
      <c r="AQ15" s="520"/>
      <c r="AR15" s="638">
        <v>486</v>
      </c>
      <c r="AS15" s="58"/>
      <c r="AT15" s="638">
        <v>481</v>
      </c>
      <c r="AU15" s="58"/>
      <c r="AV15" s="167">
        <f t="shared" si="25"/>
        <v>-1.0288065843621408E-2</v>
      </c>
      <c r="AW15" s="520"/>
      <c r="AX15" s="638">
        <v>536</v>
      </c>
      <c r="AY15" s="58"/>
      <c r="AZ15" s="638">
        <v>593</v>
      </c>
      <c r="BA15" s="58"/>
      <c r="BB15" s="167">
        <f t="shared" si="26"/>
        <v>0.10634328358208944</v>
      </c>
      <c r="BC15" s="520"/>
      <c r="BD15" s="638">
        <v>43</v>
      </c>
      <c r="BE15" s="58"/>
      <c r="BF15" s="638">
        <v>43</v>
      </c>
      <c r="BG15" s="58"/>
      <c r="BH15" s="167">
        <f t="shared" si="27"/>
        <v>0</v>
      </c>
      <c r="BI15" s="520"/>
      <c r="BJ15" s="638">
        <v>387</v>
      </c>
      <c r="BK15" s="58"/>
      <c r="BL15" s="638">
        <v>418</v>
      </c>
      <c r="BM15" s="58"/>
      <c r="BN15" s="167">
        <f t="shared" si="28"/>
        <v>8.0103359173126609E-2</v>
      </c>
      <c r="BO15" s="520"/>
      <c r="BP15" s="638">
        <v>46</v>
      </c>
      <c r="BQ15" s="58"/>
      <c r="BR15" s="638">
        <v>47</v>
      </c>
      <c r="BS15" s="58"/>
      <c r="BT15" s="167">
        <f t="shared" si="29"/>
        <v>2.1739130434782705E-2</v>
      </c>
      <c r="BU15" s="520"/>
      <c r="BV15" s="638">
        <v>51</v>
      </c>
      <c r="BW15" s="58"/>
      <c r="BX15" s="638">
        <v>69</v>
      </c>
      <c r="BY15" s="58"/>
      <c r="BZ15" s="167">
        <f t="shared" si="30"/>
        <v>0.35294117647058831</v>
      </c>
      <c r="CA15" s="18"/>
      <c r="CD15" s="582">
        <f t="shared" si="11"/>
        <v>0</v>
      </c>
      <c r="CE15" s="583"/>
      <c r="CF15" s="584"/>
      <c r="CG15" s="584">
        <v>0</v>
      </c>
      <c r="CH15" s="582">
        <f t="shared" si="12"/>
        <v>0</v>
      </c>
    </row>
    <row r="16" spans="1:88" s="2" customFormat="1" ht="14.25">
      <c r="A16" s="1607" t="s">
        <v>1348</v>
      </c>
      <c r="B16" s="1608" t="s">
        <v>1349</v>
      </c>
      <c r="C16" s="23">
        <v>6</v>
      </c>
      <c r="D16" s="990" t="s">
        <v>2074</v>
      </c>
      <c r="E16" s="485"/>
      <c r="F16" s="51"/>
      <c r="G16" s="51" t="s">
        <v>1308</v>
      </c>
      <c r="H16" s="46" t="s">
        <v>1326</v>
      </c>
      <c r="I16" s="1613">
        <v>8</v>
      </c>
      <c r="J16" s="573">
        <f t="shared" si="19"/>
        <v>0.38372811436277654</v>
      </c>
      <c r="K16" s="1593">
        <v>0</v>
      </c>
      <c r="L16" s="573">
        <f t="shared" si="20"/>
        <v>0.19256075630859426</v>
      </c>
      <c r="M16" s="1593">
        <v>0</v>
      </c>
      <c r="N16" s="512">
        <f t="shared" si="15"/>
        <v>0</v>
      </c>
      <c r="O16" s="1532">
        <f t="shared" si="0"/>
        <v>8</v>
      </c>
      <c r="P16" s="1532">
        <f t="shared" si="16"/>
        <v>5.6</v>
      </c>
      <c r="Q16" s="1535">
        <f t="shared" si="17"/>
        <v>0.62222222222222223</v>
      </c>
      <c r="R16" s="1538">
        <f t="shared" si="18"/>
        <v>0.31111111111111112</v>
      </c>
      <c r="S16" s="520"/>
      <c r="T16" s="571">
        <f>IF(T18=0,"",T17/T18)</f>
        <v>0.5625</v>
      </c>
      <c r="U16" s="638" t="s">
        <v>1350</v>
      </c>
      <c r="V16" s="571">
        <f>IF(V18=0,"",V17/V18)</f>
        <v>9.5238095238095233E-2</v>
      </c>
      <c r="W16" s="1547" t="s">
        <v>1350</v>
      </c>
      <c r="X16" s="167">
        <f t="shared" si="21"/>
        <v>-0.8306878306878307</v>
      </c>
      <c r="Y16" s="520"/>
      <c r="Z16" s="571">
        <f>IF(Z18=0,"",Z17/Z18)</f>
        <v>0.50785340314136129</v>
      </c>
      <c r="AA16" s="638" t="s">
        <v>1351</v>
      </c>
      <c r="AB16" s="571">
        <f>IF(AB18=0,"",AB17/AB18)</f>
        <v>0.33606557377049179</v>
      </c>
      <c r="AC16" s="1547" t="s">
        <v>1351</v>
      </c>
      <c r="AD16" s="167">
        <f t="shared" si="22"/>
        <v>-0.3382626330910935</v>
      </c>
      <c r="AE16" s="520"/>
      <c r="AF16" s="638">
        <f>IF(AF18=0,"",AF17/AF18)</f>
        <v>0.56838905775075987</v>
      </c>
      <c r="AG16" s="638" t="s">
        <v>1351</v>
      </c>
      <c r="AH16" s="638">
        <f>IF(AH18=0,"",AH17/AH18)</f>
        <v>0.31402439024390244</v>
      </c>
      <c r="AI16" s="1547" t="s">
        <v>1351</v>
      </c>
      <c r="AJ16" s="167">
        <f t="shared" si="23"/>
        <v>-0.44751858614842832</v>
      </c>
      <c r="AK16" s="520"/>
      <c r="AL16" s="571">
        <f>IF(AL18=0,"",AL17/AL18)</f>
        <v>0.17543859649122806</v>
      </c>
      <c r="AM16" s="638" t="s">
        <v>1351</v>
      </c>
      <c r="AN16" s="571">
        <f>IF(AN18=0,"",AN17/AN18)</f>
        <v>0.14583333333333334</v>
      </c>
      <c r="AO16" s="1547" t="s">
        <v>1351</v>
      </c>
      <c r="AP16" s="167">
        <f t="shared" si="24"/>
        <v>-0.16874999999999996</v>
      </c>
      <c r="AQ16" s="520"/>
      <c r="AR16" s="638">
        <f>IF(AR18=0,"",AR17/AR18)</f>
        <v>0.2</v>
      </c>
      <c r="AS16" s="638" t="s">
        <v>1351</v>
      </c>
      <c r="AT16" s="638">
        <f>IF(AT18=0,"",AT17/AT18)</f>
        <v>0.18556701030927836</v>
      </c>
      <c r="AU16" s="1547" t="s">
        <v>1351</v>
      </c>
      <c r="AV16" s="167">
        <f t="shared" si="25"/>
        <v>-7.2164948453608213E-2</v>
      </c>
      <c r="AW16" s="520"/>
      <c r="AX16" s="571">
        <f>IF(AX18=0,"",AX17/AX18)</f>
        <v>0.19814814814814816</v>
      </c>
      <c r="AY16" s="638" t="s">
        <v>1351</v>
      </c>
      <c r="AZ16" s="571">
        <f>IF(AZ18=0,"",AZ17/AZ18)</f>
        <v>0.10906040268456375</v>
      </c>
      <c r="BA16" s="1547" t="s">
        <v>1351</v>
      </c>
      <c r="BB16" s="167">
        <f t="shared" si="26"/>
        <v>-0.44960170607790262</v>
      </c>
      <c r="BC16" s="520"/>
      <c r="BD16" s="571">
        <f>IF(BD18=0,"",BD17/BD18)</f>
        <v>0.68181818181818177</v>
      </c>
      <c r="BE16" s="638" t="s">
        <v>1351</v>
      </c>
      <c r="BF16" s="571">
        <f>IF(BF18=0,"",BF17/BF18)</f>
        <v>0.20930232558139536</v>
      </c>
      <c r="BG16" s="1547" t="s">
        <v>1351</v>
      </c>
      <c r="BH16" s="167">
        <f t="shared" si="27"/>
        <v>-0.69302325581395352</v>
      </c>
      <c r="BI16" s="520"/>
      <c r="BJ16" s="571">
        <f>IF(BJ18=0,"",BJ17/BJ18)</f>
        <v>0.28608247422680411</v>
      </c>
      <c r="BK16" s="638" t="s">
        <v>1351</v>
      </c>
      <c r="BL16" s="571">
        <f>IF(BL18=0,"",BL17/BL18)</f>
        <v>0.18439716312056736</v>
      </c>
      <c r="BM16" s="1547" t="s">
        <v>1351</v>
      </c>
      <c r="BN16" s="167">
        <f t="shared" si="28"/>
        <v>-0.35544054692990867</v>
      </c>
      <c r="BO16" s="520"/>
      <c r="BP16" s="571">
        <f>IF(BP18=0,"",BP17/BP18)</f>
        <v>0.29166666666666669</v>
      </c>
      <c r="BQ16" s="638" t="s">
        <v>1351</v>
      </c>
      <c r="BR16" s="571">
        <f>IF(BR18=0,"",BR17/BR18)</f>
        <v>0.14893617021276595</v>
      </c>
      <c r="BS16" s="1547" t="s">
        <v>1351</v>
      </c>
      <c r="BT16" s="167">
        <f t="shared" si="29"/>
        <v>-0.48936170212765961</v>
      </c>
      <c r="BU16" s="520"/>
      <c r="BV16" s="571">
        <f>IF(BV18=0,"",BV17/BV18)</f>
        <v>0.36538461538461536</v>
      </c>
      <c r="BW16" s="638" t="s">
        <v>1351</v>
      </c>
      <c r="BX16" s="571">
        <f>IF(BX18=0,"",BX17/BX18)</f>
        <v>0.19718309859154928</v>
      </c>
      <c r="BY16" s="1547" t="s">
        <v>1351</v>
      </c>
      <c r="BZ16" s="167">
        <f t="shared" si="30"/>
        <v>-0.4603409933283914</v>
      </c>
      <c r="CA16" s="18"/>
      <c r="CD16" s="582">
        <v>8</v>
      </c>
      <c r="CE16" s="583">
        <v>1</v>
      </c>
      <c r="CF16" s="582">
        <v>8</v>
      </c>
      <c r="CG16" s="584">
        <v>0</v>
      </c>
      <c r="CH16" s="582">
        <v>8</v>
      </c>
      <c r="CI16" s="2" t="s">
        <v>1478</v>
      </c>
      <c r="CJ16" s="2">
        <v>2.98</v>
      </c>
    </row>
    <row r="17" spans="1:86" s="2" customFormat="1">
      <c r="A17" s="1585"/>
      <c r="B17" s="1588"/>
      <c r="C17" s="502">
        <v>6.1</v>
      </c>
      <c r="D17" s="1025" t="s">
        <v>1352</v>
      </c>
      <c r="E17" s="495" t="s">
        <v>1241</v>
      </c>
      <c r="F17" s="45" t="s">
        <v>1346</v>
      </c>
      <c r="G17" s="51"/>
      <c r="H17" s="682"/>
      <c r="I17" s="1614"/>
      <c r="J17" s="573">
        <f t="shared" si="19"/>
        <v>69.099999999999994</v>
      </c>
      <c r="K17" s="1594"/>
      <c r="L17" s="573">
        <f t="shared" si="20"/>
        <v>45.7</v>
      </c>
      <c r="M17" s="1594"/>
      <c r="N17" s="512">
        <f t="shared" si="15"/>
        <v>0</v>
      </c>
      <c r="O17" s="1533"/>
      <c r="P17" s="1533"/>
      <c r="Q17" s="1536"/>
      <c r="R17" s="1539"/>
      <c r="S17" s="520"/>
      <c r="T17" s="638">
        <v>18</v>
      </c>
      <c r="U17" s="58"/>
      <c r="V17" s="638">
        <v>2</v>
      </c>
      <c r="W17" s="1548"/>
      <c r="X17" s="167">
        <f t="shared" si="21"/>
        <v>-0.88888888888888884</v>
      </c>
      <c r="Y17" s="520"/>
      <c r="Z17" s="638">
        <v>97</v>
      </c>
      <c r="AA17" s="58"/>
      <c r="AB17" s="638">
        <v>82</v>
      </c>
      <c r="AC17" s="1548"/>
      <c r="AD17" s="167">
        <f t="shared" si="22"/>
        <v>-0.15463917525773196</v>
      </c>
      <c r="AE17" s="520"/>
      <c r="AF17" s="638">
        <v>187</v>
      </c>
      <c r="AG17" s="58"/>
      <c r="AH17" s="638">
        <v>103</v>
      </c>
      <c r="AI17" s="1548"/>
      <c r="AJ17" s="167">
        <f t="shared" si="23"/>
        <v>-0.44919786096256686</v>
      </c>
      <c r="AK17" s="520"/>
      <c r="AL17" s="638">
        <v>10</v>
      </c>
      <c r="AM17" s="58"/>
      <c r="AN17" s="638">
        <v>7</v>
      </c>
      <c r="AO17" s="1548"/>
      <c r="AP17" s="167">
        <f t="shared" si="24"/>
        <v>-0.30000000000000004</v>
      </c>
      <c r="AQ17" s="520"/>
      <c r="AR17" s="638">
        <v>98</v>
      </c>
      <c r="AS17" s="58"/>
      <c r="AT17" s="638">
        <v>90</v>
      </c>
      <c r="AU17" s="1548"/>
      <c r="AV17" s="167">
        <f t="shared" si="25"/>
        <v>-8.1632653061224469E-2</v>
      </c>
      <c r="AW17" s="520"/>
      <c r="AX17" s="638">
        <v>107</v>
      </c>
      <c r="AY17" s="58"/>
      <c r="AZ17" s="638">
        <v>65</v>
      </c>
      <c r="BA17" s="1548"/>
      <c r="BB17" s="167">
        <f t="shared" si="26"/>
        <v>-0.39252336448598135</v>
      </c>
      <c r="BC17" s="520"/>
      <c r="BD17" s="638">
        <v>30</v>
      </c>
      <c r="BE17" s="58"/>
      <c r="BF17" s="638">
        <v>9</v>
      </c>
      <c r="BG17" s="1548"/>
      <c r="BH17" s="167">
        <f t="shared" si="27"/>
        <v>-0.7</v>
      </c>
      <c r="BI17" s="520"/>
      <c r="BJ17" s="638">
        <v>111</v>
      </c>
      <c r="BK17" s="58"/>
      <c r="BL17" s="638">
        <v>78</v>
      </c>
      <c r="BM17" s="1548"/>
      <c r="BN17" s="167">
        <f t="shared" si="28"/>
        <v>-0.29729729729729726</v>
      </c>
      <c r="BO17" s="520"/>
      <c r="BP17" s="638">
        <v>14</v>
      </c>
      <c r="BQ17" s="58"/>
      <c r="BR17" s="638">
        <v>7</v>
      </c>
      <c r="BS17" s="1548"/>
      <c r="BT17" s="167">
        <f t="shared" si="29"/>
        <v>-0.5</v>
      </c>
      <c r="BU17" s="520"/>
      <c r="BV17" s="638">
        <v>19</v>
      </c>
      <c r="BW17" s="58"/>
      <c r="BX17" s="638">
        <v>14</v>
      </c>
      <c r="BY17" s="1548"/>
      <c r="BZ17" s="167">
        <f t="shared" si="30"/>
        <v>-0.26315789473684215</v>
      </c>
      <c r="CA17" s="18"/>
      <c r="CD17" s="582">
        <f t="shared" ref="CD17:CD38" si="31">K17</f>
        <v>0</v>
      </c>
      <c r="CE17" s="583"/>
      <c r="CF17" s="584"/>
      <c r="CG17" s="584">
        <v>0</v>
      </c>
      <c r="CH17" s="582">
        <f t="shared" ref="CH17:CH38" si="32">N17</f>
        <v>0</v>
      </c>
    </row>
    <row r="18" spans="1:86" s="2" customFormat="1">
      <c r="A18" s="1586"/>
      <c r="B18" s="1589"/>
      <c r="C18" s="502">
        <v>6.2</v>
      </c>
      <c r="D18" s="1025" t="s">
        <v>1353</v>
      </c>
      <c r="E18" s="495" t="s">
        <v>1241</v>
      </c>
      <c r="F18" s="45" t="s">
        <v>1346</v>
      </c>
      <c r="G18" s="51"/>
      <c r="H18" s="682"/>
      <c r="I18" s="1615"/>
      <c r="J18" s="573">
        <f t="shared" si="19"/>
        <v>217.1</v>
      </c>
      <c r="K18" s="1595"/>
      <c r="L18" s="573">
        <f t="shared" si="20"/>
        <v>230.6</v>
      </c>
      <c r="M18" s="1595"/>
      <c r="N18" s="512">
        <f t="shared" si="15"/>
        <v>0</v>
      </c>
      <c r="O18" s="1534"/>
      <c r="P18" s="1534"/>
      <c r="Q18" s="1537"/>
      <c r="R18" s="1540"/>
      <c r="S18" s="520"/>
      <c r="T18" s="638">
        <v>32</v>
      </c>
      <c r="U18" s="58"/>
      <c r="V18" s="638">
        <v>21</v>
      </c>
      <c r="W18" s="1549"/>
      <c r="X18" s="167">
        <f t="shared" si="21"/>
        <v>-0.34375</v>
      </c>
      <c r="Y18" s="520"/>
      <c r="Z18" s="638">
        <v>191</v>
      </c>
      <c r="AA18" s="58"/>
      <c r="AB18" s="638">
        <v>244</v>
      </c>
      <c r="AC18" s="1549"/>
      <c r="AD18" s="167">
        <f t="shared" si="22"/>
        <v>0.27748691099476441</v>
      </c>
      <c r="AE18" s="520"/>
      <c r="AF18" s="638">
        <v>329</v>
      </c>
      <c r="AG18" s="58"/>
      <c r="AH18" s="638">
        <v>328</v>
      </c>
      <c r="AI18" s="1549"/>
      <c r="AJ18" s="167">
        <f t="shared" si="23"/>
        <v>-3.0395136778115228E-3</v>
      </c>
      <c r="AK18" s="520"/>
      <c r="AL18" s="638">
        <v>57</v>
      </c>
      <c r="AM18" s="58"/>
      <c r="AN18" s="638">
        <v>48</v>
      </c>
      <c r="AO18" s="1549"/>
      <c r="AP18" s="167">
        <f t="shared" si="24"/>
        <v>-0.15789473684210531</v>
      </c>
      <c r="AQ18" s="520"/>
      <c r="AR18" s="638">
        <v>490</v>
      </c>
      <c r="AS18" s="58"/>
      <c r="AT18" s="638">
        <v>485</v>
      </c>
      <c r="AU18" s="1549"/>
      <c r="AV18" s="167">
        <f t="shared" si="25"/>
        <v>-1.0204081632653073E-2</v>
      </c>
      <c r="AW18" s="520"/>
      <c r="AX18" s="638">
        <v>540</v>
      </c>
      <c r="AY18" s="58"/>
      <c r="AZ18" s="638">
        <v>596</v>
      </c>
      <c r="BA18" s="1549"/>
      <c r="BB18" s="167">
        <f t="shared" si="26"/>
        <v>0.10370370370370363</v>
      </c>
      <c r="BC18" s="520"/>
      <c r="BD18" s="638">
        <v>44</v>
      </c>
      <c r="BE18" s="58"/>
      <c r="BF18" s="638">
        <v>43</v>
      </c>
      <c r="BG18" s="1549"/>
      <c r="BH18" s="167">
        <f t="shared" si="27"/>
        <v>-2.2727272727272707E-2</v>
      </c>
      <c r="BI18" s="520"/>
      <c r="BJ18" s="638">
        <v>388</v>
      </c>
      <c r="BK18" s="58"/>
      <c r="BL18" s="638">
        <v>423</v>
      </c>
      <c r="BM18" s="1549"/>
      <c r="BN18" s="167">
        <f t="shared" si="28"/>
        <v>9.0206185567010211E-2</v>
      </c>
      <c r="BO18" s="520"/>
      <c r="BP18" s="638">
        <v>48</v>
      </c>
      <c r="BQ18" s="58"/>
      <c r="BR18" s="638">
        <v>47</v>
      </c>
      <c r="BS18" s="1549"/>
      <c r="BT18" s="167">
        <f t="shared" si="29"/>
        <v>-2.083333333333337E-2</v>
      </c>
      <c r="BU18" s="520"/>
      <c r="BV18" s="638">
        <v>52</v>
      </c>
      <c r="BW18" s="58"/>
      <c r="BX18" s="638">
        <v>71</v>
      </c>
      <c r="BY18" s="1549"/>
      <c r="BZ18" s="167">
        <f t="shared" si="30"/>
        <v>0.36538461538461542</v>
      </c>
      <c r="CA18" s="18"/>
      <c r="CD18" s="582">
        <f t="shared" si="31"/>
        <v>0</v>
      </c>
      <c r="CE18" s="583"/>
      <c r="CF18" s="584"/>
      <c r="CG18" s="584">
        <v>0</v>
      </c>
      <c r="CH18" s="582">
        <f t="shared" si="32"/>
        <v>0</v>
      </c>
    </row>
    <row r="19" spans="1:86" s="2" customFormat="1">
      <c r="A19" s="1599" t="s">
        <v>1355</v>
      </c>
      <c r="B19" s="1600" t="s">
        <v>1356</v>
      </c>
      <c r="C19" s="23">
        <v>7</v>
      </c>
      <c r="D19" s="20" t="s">
        <v>1354</v>
      </c>
      <c r="E19" s="495"/>
      <c r="F19" s="51"/>
      <c r="G19" s="51" t="s">
        <v>1308</v>
      </c>
      <c r="H19" s="50" t="s">
        <v>1329</v>
      </c>
      <c r="I19" s="503">
        <v>6</v>
      </c>
      <c r="J19" s="245">
        <f t="shared" si="19"/>
        <v>1</v>
      </c>
      <c r="K19" s="433">
        <f>AVERAGE(BW19,BQ19,BK19,BE19,AY19,AS19,AM19,AG19,AA19,U19)</f>
        <v>6</v>
      </c>
      <c r="L19" s="245">
        <f t="shared" si="20"/>
        <v>1</v>
      </c>
      <c r="M19" s="433">
        <f>AVERAGE(BY19,BS19,BM19,BG19,BA19,AU19,AO19,AI19,AC19,W19)</f>
        <v>6</v>
      </c>
      <c r="N19" s="512">
        <f t="shared" si="15"/>
        <v>0</v>
      </c>
      <c r="O19" s="65">
        <f t="shared" si="0"/>
        <v>0</v>
      </c>
      <c r="P19" s="510">
        <f t="shared" si="16"/>
        <v>0</v>
      </c>
      <c r="Q19" s="833">
        <f t="shared" si="17"/>
        <v>0</v>
      </c>
      <c r="R19" s="832">
        <f t="shared" si="18"/>
        <v>0</v>
      </c>
      <c r="S19" s="520"/>
      <c r="T19" s="245">
        <f>T20/T21</f>
        <v>1</v>
      </c>
      <c r="U19" s="631">
        <f>IF(T19&gt;=0.95,6,IF(T19&gt;0.9,2,0))</f>
        <v>6</v>
      </c>
      <c r="V19" s="245">
        <f>V20/V21</f>
        <v>1</v>
      </c>
      <c r="W19" s="631">
        <f>IF(V19&gt;=0.95,6,IF(V19&gt;0.9,2,0))</f>
        <v>6</v>
      </c>
      <c r="X19" s="167">
        <f t="shared" si="21"/>
        <v>0</v>
      </c>
      <c r="Y19" s="520"/>
      <c r="Z19" s="245">
        <f>Z20/Z21</f>
        <v>1</v>
      </c>
      <c r="AA19" s="631">
        <f>IF(Z19&gt;=0.95,6,IF(Z19&gt;0.9,2,0))</f>
        <v>6</v>
      </c>
      <c r="AB19" s="245">
        <f>AB20/AB21</f>
        <v>1</v>
      </c>
      <c r="AC19" s="631">
        <f>IF(AB19&gt;=0.95,6,IF(AB19&gt;0.9,2,0))</f>
        <v>6</v>
      </c>
      <c r="AD19" s="167">
        <f t="shared" si="22"/>
        <v>0</v>
      </c>
      <c r="AE19" s="520"/>
      <c r="AF19" s="245">
        <f>AF20/AF21</f>
        <v>1</v>
      </c>
      <c r="AG19" s="631">
        <f>IF(AF19&gt;=0.95,6,IF(AF19&gt;0.9,2,0))</f>
        <v>6</v>
      </c>
      <c r="AH19" s="245">
        <f>AH20/AH21</f>
        <v>1</v>
      </c>
      <c r="AI19" s="631">
        <f>IF(AH19&gt;=0.95,6,IF(AH19&gt;0.9,2,0))</f>
        <v>6</v>
      </c>
      <c r="AJ19" s="167">
        <f t="shared" si="23"/>
        <v>0</v>
      </c>
      <c r="AK19" s="520"/>
      <c r="AL19" s="245">
        <f>AL20/AL21</f>
        <v>1</v>
      </c>
      <c r="AM19" s="631">
        <f>IF(AL19&gt;=0.95,6,IF(AL19&gt;0.9,2,0))</f>
        <v>6</v>
      </c>
      <c r="AN19" s="245">
        <f>AN20/AN21</f>
        <v>1</v>
      </c>
      <c r="AO19" s="631">
        <f>IF(AN19&gt;=0.95,6,IF(AN19&gt;0.9,2,0))</f>
        <v>6</v>
      </c>
      <c r="AP19" s="167">
        <f t="shared" si="24"/>
        <v>0</v>
      </c>
      <c r="AQ19" s="520"/>
      <c r="AR19" s="638">
        <f>AR20/AR21</f>
        <v>1</v>
      </c>
      <c r="AS19" s="631">
        <f>IF(AR19&gt;=0.95,6,IF(AR19&gt;0.9,2,0))</f>
        <v>6</v>
      </c>
      <c r="AT19" s="638">
        <f>AT20/AT21</f>
        <v>1</v>
      </c>
      <c r="AU19" s="631">
        <f>IF(AT19&gt;=0.95,6,IF(AT19&gt;0.9,2,0))</f>
        <v>6</v>
      </c>
      <c r="AV19" s="167">
        <f t="shared" si="25"/>
        <v>0</v>
      </c>
      <c r="AW19" s="520"/>
      <c r="AX19" s="245">
        <f>AX20/AX21</f>
        <v>1</v>
      </c>
      <c r="AY19" s="631">
        <f>IF(AX19&gt;=0.95,6,IF(AX19&gt;0.9,2,0))</f>
        <v>6</v>
      </c>
      <c r="AZ19" s="245">
        <f>AZ20/AZ21</f>
        <v>1</v>
      </c>
      <c r="BA19" s="631">
        <f>IF(AZ19&gt;=0.95,6,IF(AZ19&gt;0.9,2,0))</f>
        <v>6</v>
      </c>
      <c r="BB19" s="167">
        <f t="shared" si="26"/>
        <v>0</v>
      </c>
      <c r="BC19" s="520"/>
      <c r="BD19" s="245">
        <f>BD20/BD21</f>
        <v>1</v>
      </c>
      <c r="BE19" s="631">
        <f>IF(BD19&gt;=0.95,6,IF(BD19&gt;0.9,2,0))</f>
        <v>6</v>
      </c>
      <c r="BF19" s="245">
        <f>BF20/BF21</f>
        <v>1</v>
      </c>
      <c r="BG19" s="631">
        <f>IF(BF19&gt;=0.95,6,IF(BF19&gt;0.9,2,0))</f>
        <v>6</v>
      </c>
      <c r="BH19" s="167">
        <f t="shared" si="27"/>
        <v>0</v>
      </c>
      <c r="BI19" s="520"/>
      <c r="BJ19" s="245">
        <f>BJ20/BJ21</f>
        <v>1</v>
      </c>
      <c r="BK19" s="631">
        <f>IF(BJ19&gt;=0.95,6,IF(BJ19&gt;0.9,2,0))</f>
        <v>6</v>
      </c>
      <c r="BL19" s="245">
        <f>BL20/BL21</f>
        <v>1</v>
      </c>
      <c r="BM19" s="631">
        <f>IF(BL19&gt;=0.95,6,IF(BL19&gt;0.9,2,0))</f>
        <v>6</v>
      </c>
      <c r="BN19" s="167">
        <f t="shared" si="28"/>
        <v>0</v>
      </c>
      <c r="BO19" s="520"/>
      <c r="BP19" s="245">
        <f>BP20/BP21</f>
        <v>1</v>
      </c>
      <c r="BQ19" s="631">
        <f>IF(BP19&gt;=0.95,6,IF(BP19&gt;0.9,2,0))</f>
        <v>6</v>
      </c>
      <c r="BR19" s="245">
        <f>BR20/BR21</f>
        <v>1</v>
      </c>
      <c r="BS19" s="631">
        <f>IF(BR19&gt;=0.95,6,IF(BR19&gt;0.9,2,0))</f>
        <v>6</v>
      </c>
      <c r="BT19" s="167">
        <f t="shared" si="29"/>
        <v>0</v>
      </c>
      <c r="BU19" s="520"/>
      <c r="BV19" s="245">
        <f>BV20/BV21</f>
        <v>1</v>
      </c>
      <c r="BW19" s="631">
        <f>IF(BV19&gt;=0.95,6,IF(BV19&gt;0.9,2,0))</f>
        <v>6</v>
      </c>
      <c r="BX19" s="245">
        <f>BX20/BX21</f>
        <v>1</v>
      </c>
      <c r="BY19" s="631">
        <f>IF(BX19&gt;=0.95,6,IF(BX19&gt;0.9,2,0))</f>
        <v>6</v>
      </c>
      <c r="BZ19" s="167">
        <f t="shared" si="30"/>
        <v>0</v>
      </c>
      <c r="CA19" s="18"/>
      <c r="CD19" s="582">
        <f t="shared" si="31"/>
        <v>6</v>
      </c>
      <c r="CE19" s="583">
        <v>1</v>
      </c>
      <c r="CF19" s="584">
        <f>M19</f>
        <v>6</v>
      </c>
      <c r="CG19" s="584">
        <v>0</v>
      </c>
      <c r="CH19" s="582">
        <f t="shared" si="32"/>
        <v>0</v>
      </c>
    </row>
    <row r="20" spans="1:86" s="2" customFormat="1">
      <c r="A20" s="1585"/>
      <c r="B20" s="1588"/>
      <c r="C20" s="502">
        <v>7.1</v>
      </c>
      <c r="D20" s="17" t="s">
        <v>1357</v>
      </c>
      <c r="E20" s="495" t="s">
        <v>1241</v>
      </c>
      <c r="F20" s="45" t="s">
        <v>1346</v>
      </c>
      <c r="G20" s="51"/>
      <c r="H20" s="50"/>
      <c r="I20" s="51"/>
      <c r="J20" s="574">
        <f t="shared" si="19"/>
        <v>214.7</v>
      </c>
      <c r="K20" s="433"/>
      <c r="L20" s="574">
        <f t="shared" si="20"/>
        <v>228.8</v>
      </c>
      <c r="M20" s="433"/>
      <c r="N20" s="512">
        <f t="shared" si="15"/>
        <v>0</v>
      </c>
      <c r="O20" s="65">
        <f t="shared" si="0"/>
        <v>0</v>
      </c>
      <c r="P20" s="510">
        <f t="shared" si="16"/>
        <v>0</v>
      </c>
      <c r="Q20" s="833">
        <f t="shared" si="17"/>
        <v>0</v>
      </c>
      <c r="R20" s="832">
        <f t="shared" si="18"/>
        <v>0</v>
      </c>
      <c r="S20" s="520"/>
      <c r="T20" s="638">
        <v>31</v>
      </c>
      <c r="U20" s="58"/>
      <c r="V20" s="638">
        <v>21</v>
      </c>
      <c r="W20" s="58"/>
      <c r="X20" s="167">
        <f t="shared" si="21"/>
        <v>-0.32258064516129037</v>
      </c>
      <c r="Y20" s="520"/>
      <c r="Z20" s="638">
        <v>190</v>
      </c>
      <c r="AA20" s="58"/>
      <c r="AB20" s="638">
        <v>242</v>
      </c>
      <c r="AC20" s="58"/>
      <c r="AD20" s="167">
        <f t="shared" si="22"/>
        <v>0.27368421052631575</v>
      </c>
      <c r="AE20" s="520"/>
      <c r="AF20" s="638">
        <v>322</v>
      </c>
      <c r="AG20" s="58"/>
      <c r="AH20" s="638">
        <v>326</v>
      </c>
      <c r="AI20" s="58"/>
      <c r="AJ20" s="167">
        <f t="shared" si="23"/>
        <v>1.2422360248447228E-2</v>
      </c>
      <c r="AK20" s="520"/>
      <c r="AL20" s="638">
        <v>55</v>
      </c>
      <c r="AM20" s="58"/>
      <c r="AN20" s="638">
        <v>48</v>
      </c>
      <c r="AO20" s="58"/>
      <c r="AP20" s="167">
        <f t="shared" si="24"/>
        <v>-0.12727272727272732</v>
      </c>
      <c r="AQ20" s="520"/>
      <c r="AR20" s="638">
        <v>486</v>
      </c>
      <c r="AS20" s="58"/>
      <c r="AT20" s="638">
        <v>481</v>
      </c>
      <c r="AU20" s="58"/>
      <c r="AV20" s="167">
        <f t="shared" si="25"/>
        <v>-1.0288065843621408E-2</v>
      </c>
      <c r="AW20" s="520"/>
      <c r="AX20" s="638">
        <v>536</v>
      </c>
      <c r="AY20" s="58"/>
      <c r="AZ20" s="638">
        <v>593</v>
      </c>
      <c r="BA20" s="58"/>
      <c r="BB20" s="167">
        <f t="shared" si="26"/>
        <v>0.10634328358208944</v>
      </c>
      <c r="BC20" s="520"/>
      <c r="BD20" s="638">
        <v>43</v>
      </c>
      <c r="BE20" s="58"/>
      <c r="BF20" s="638">
        <v>43</v>
      </c>
      <c r="BG20" s="58"/>
      <c r="BH20" s="167">
        <f t="shared" si="27"/>
        <v>0</v>
      </c>
      <c r="BI20" s="520"/>
      <c r="BJ20" s="638">
        <v>387</v>
      </c>
      <c r="BK20" s="58"/>
      <c r="BL20" s="638">
        <v>418</v>
      </c>
      <c r="BM20" s="58"/>
      <c r="BN20" s="167">
        <f t="shared" si="28"/>
        <v>8.0103359173126609E-2</v>
      </c>
      <c r="BO20" s="520"/>
      <c r="BP20" s="638">
        <v>46</v>
      </c>
      <c r="BQ20" s="58"/>
      <c r="BR20" s="638">
        <v>47</v>
      </c>
      <c r="BS20" s="58"/>
      <c r="BT20" s="167">
        <f t="shared" si="29"/>
        <v>2.1739130434782705E-2</v>
      </c>
      <c r="BU20" s="520"/>
      <c r="BV20" s="638">
        <v>51</v>
      </c>
      <c r="BW20" s="58"/>
      <c r="BX20" s="638">
        <v>69</v>
      </c>
      <c r="BY20" s="58"/>
      <c r="BZ20" s="167">
        <f t="shared" si="30"/>
        <v>0.35294117647058831</v>
      </c>
      <c r="CA20" s="18"/>
      <c r="CD20" s="582">
        <f t="shared" si="31"/>
        <v>0</v>
      </c>
      <c r="CE20" s="583"/>
      <c r="CF20" s="584"/>
      <c r="CG20" s="584">
        <v>0</v>
      </c>
      <c r="CH20" s="582">
        <f t="shared" si="32"/>
        <v>0</v>
      </c>
    </row>
    <row r="21" spans="1:86" s="2" customFormat="1">
      <c r="A21" s="1586"/>
      <c r="B21" s="1589"/>
      <c r="C21" s="502">
        <v>7.2</v>
      </c>
      <c r="D21" s="17" t="s">
        <v>1358</v>
      </c>
      <c r="E21" s="495" t="s">
        <v>1241</v>
      </c>
      <c r="F21" s="45" t="s">
        <v>1346</v>
      </c>
      <c r="G21" s="51"/>
      <c r="H21" s="50"/>
      <c r="I21" s="51"/>
      <c r="J21" s="574">
        <f t="shared" si="19"/>
        <v>214.7</v>
      </c>
      <c r="K21" s="433"/>
      <c r="L21" s="574">
        <f t="shared" si="20"/>
        <v>228.8</v>
      </c>
      <c r="M21" s="433"/>
      <c r="N21" s="512">
        <f t="shared" si="15"/>
        <v>0</v>
      </c>
      <c r="O21" s="65">
        <f t="shared" si="0"/>
        <v>0</v>
      </c>
      <c r="P21" s="510">
        <f t="shared" si="16"/>
        <v>0</v>
      </c>
      <c r="Q21" s="833">
        <f t="shared" si="17"/>
        <v>0</v>
      </c>
      <c r="R21" s="832">
        <f t="shared" si="18"/>
        <v>0</v>
      </c>
      <c r="S21" s="520"/>
      <c r="T21" s="638">
        <v>31</v>
      </c>
      <c r="U21" s="58"/>
      <c r="V21" s="638">
        <v>21</v>
      </c>
      <c r="W21" s="58"/>
      <c r="X21" s="167">
        <f t="shared" si="21"/>
        <v>-0.32258064516129037</v>
      </c>
      <c r="Y21" s="520"/>
      <c r="Z21" s="638">
        <v>190</v>
      </c>
      <c r="AA21" s="58"/>
      <c r="AB21" s="638">
        <v>242</v>
      </c>
      <c r="AC21" s="58"/>
      <c r="AD21" s="167">
        <f t="shared" si="22"/>
        <v>0.27368421052631575</v>
      </c>
      <c r="AE21" s="520"/>
      <c r="AF21" s="638">
        <v>322</v>
      </c>
      <c r="AG21" s="58"/>
      <c r="AH21" s="638">
        <v>326</v>
      </c>
      <c r="AI21" s="58"/>
      <c r="AJ21" s="167">
        <f t="shared" si="23"/>
        <v>1.2422360248447228E-2</v>
      </c>
      <c r="AK21" s="520"/>
      <c r="AL21" s="638">
        <v>55</v>
      </c>
      <c r="AM21" s="58"/>
      <c r="AN21" s="638">
        <v>48</v>
      </c>
      <c r="AO21" s="58"/>
      <c r="AP21" s="167">
        <f t="shared" si="24"/>
        <v>-0.12727272727272732</v>
      </c>
      <c r="AQ21" s="520"/>
      <c r="AR21" s="638">
        <v>486</v>
      </c>
      <c r="AS21" s="58"/>
      <c r="AT21" s="638">
        <v>481</v>
      </c>
      <c r="AU21" s="58"/>
      <c r="AV21" s="167">
        <f t="shared" si="25"/>
        <v>-1.0288065843621408E-2</v>
      </c>
      <c r="AW21" s="520"/>
      <c r="AX21" s="638">
        <v>536</v>
      </c>
      <c r="AY21" s="58"/>
      <c r="AZ21" s="638">
        <v>593</v>
      </c>
      <c r="BA21" s="58"/>
      <c r="BB21" s="167">
        <f t="shared" si="26"/>
        <v>0.10634328358208944</v>
      </c>
      <c r="BC21" s="520"/>
      <c r="BD21" s="638">
        <v>43</v>
      </c>
      <c r="BE21" s="58"/>
      <c r="BF21" s="638">
        <v>43</v>
      </c>
      <c r="BG21" s="58"/>
      <c r="BH21" s="167">
        <f t="shared" si="27"/>
        <v>0</v>
      </c>
      <c r="BI21" s="520"/>
      <c r="BJ21" s="638">
        <v>387</v>
      </c>
      <c r="BK21" s="58"/>
      <c r="BL21" s="638">
        <v>418</v>
      </c>
      <c r="BM21" s="58"/>
      <c r="BN21" s="167">
        <f t="shared" si="28"/>
        <v>8.0103359173126609E-2</v>
      </c>
      <c r="BO21" s="520"/>
      <c r="BP21" s="638">
        <v>46</v>
      </c>
      <c r="BQ21" s="58"/>
      <c r="BR21" s="638">
        <v>47</v>
      </c>
      <c r="BS21" s="58"/>
      <c r="BT21" s="167">
        <f t="shared" si="29"/>
        <v>2.1739130434782705E-2</v>
      </c>
      <c r="BU21" s="520"/>
      <c r="BV21" s="638">
        <v>51</v>
      </c>
      <c r="BW21" s="58"/>
      <c r="BX21" s="638">
        <v>69</v>
      </c>
      <c r="BY21" s="58"/>
      <c r="BZ21" s="167">
        <f t="shared" si="30"/>
        <v>0.35294117647058831</v>
      </c>
      <c r="CA21" s="18"/>
      <c r="CD21" s="582">
        <f t="shared" si="31"/>
        <v>0</v>
      </c>
      <c r="CE21" s="583"/>
      <c r="CF21" s="584"/>
      <c r="CG21" s="584">
        <v>0</v>
      </c>
      <c r="CH21" s="582">
        <f t="shared" si="32"/>
        <v>0</v>
      </c>
    </row>
    <row r="22" spans="1:86" s="2" customFormat="1">
      <c r="A22" s="1599" t="s">
        <v>1359</v>
      </c>
      <c r="B22" s="1600" t="s">
        <v>2122</v>
      </c>
      <c r="C22" s="23">
        <v>8</v>
      </c>
      <c r="D22" s="20" t="s">
        <v>2121</v>
      </c>
      <c r="E22" s="495"/>
      <c r="F22" s="51"/>
      <c r="G22" s="51" t="s">
        <v>1308</v>
      </c>
      <c r="H22" s="50" t="s">
        <v>1329</v>
      </c>
      <c r="I22" s="503">
        <v>4</v>
      </c>
      <c r="J22" s="245">
        <f t="shared" si="19"/>
        <v>1.0371087504290303E-2</v>
      </c>
      <c r="K22" s="433">
        <f>AVERAGE(BW22,BQ22,BK22,BE22,AY22,AS22,AM22,AG22,AA22,U22)</f>
        <v>4</v>
      </c>
      <c r="L22" s="245">
        <f t="shared" si="20"/>
        <v>1.5902292237165686E-3</v>
      </c>
      <c r="M22" s="433">
        <f>AVERAGE(BY22,BS22,BM22,BG22,BA22,AU22,AO22,AI22,AC22,W22)</f>
        <v>4</v>
      </c>
      <c r="N22" s="512">
        <f t="shared" si="15"/>
        <v>0</v>
      </c>
      <c r="O22" s="65">
        <f t="shared" si="0"/>
        <v>0</v>
      </c>
      <c r="P22" s="510">
        <f t="shared" si="16"/>
        <v>0</v>
      </c>
      <c r="Q22" s="833">
        <f t="shared" si="17"/>
        <v>0</v>
      </c>
      <c r="R22" s="832">
        <f t="shared" si="18"/>
        <v>0</v>
      </c>
      <c r="S22" s="520"/>
      <c r="T22" s="245">
        <f>T23/T24</f>
        <v>0</v>
      </c>
      <c r="U22" s="246">
        <f>IF(T22&lt;=0.2,4,0)</f>
        <v>4</v>
      </c>
      <c r="V22" s="245">
        <f>V23/V24</f>
        <v>0</v>
      </c>
      <c r="W22" s="246">
        <f>IF(V22&lt;=0.2,4,0)</f>
        <v>4</v>
      </c>
      <c r="X22" s="167">
        <f t="shared" si="21"/>
        <v>0</v>
      </c>
      <c r="Y22" s="520"/>
      <c r="Z22" s="245">
        <f>Z23/Z24</f>
        <v>3.7625977022083025E-4</v>
      </c>
      <c r="AA22" s="246">
        <f>IF(Z22&lt;=0.2,4,0)</f>
        <v>4</v>
      </c>
      <c r="AB22" s="245">
        <f>AB23/AB24</f>
        <v>3.1469841985289526E-3</v>
      </c>
      <c r="AC22" s="246">
        <f>IF(AB22&lt;=0.2,4,0)</f>
        <v>4</v>
      </c>
      <c r="AD22" s="167">
        <f t="shared" si="22"/>
        <v>7.3638604166529937</v>
      </c>
      <c r="AE22" s="520"/>
      <c r="AF22" s="245">
        <f>AF23/AF24</f>
        <v>2.1046727623275905E-3</v>
      </c>
      <c r="AG22" s="246">
        <f>IF(AF22&lt;=0.2,4,0)</f>
        <v>4</v>
      </c>
      <c r="AH22" s="245">
        <f>AH23/AH24</f>
        <v>2.4467432766885951E-3</v>
      </c>
      <c r="AI22" s="246">
        <f>IF(AH22&lt;=0.2,4,0)</f>
        <v>4</v>
      </c>
      <c r="AJ22" s="167">
        <f t="shared" si="23"/>
        <v>0.16252907363266456</v>
      </c>
      <c r="AK22" s="520"/>
      <c r="AL22" s="245">
        <f>AL23/AL24</f>
        <v>7.9633342332139539E-4</v>
      </c>
      <c r="AM22" s="246">
        <f>IF(AL22&lt;=0.2,4,0)</f>
        <v>4</v>
      </c>
      <c r="AN22" s="245">
        <f>AN23/AN24</f>
        <v>4.64365611643561E-4</v>
      </c>
      <c r="AO22" s="246">
        <f>IF(AN22&lt;=0.2,4,0)</f>
        <v>4</v>
      </c>
      <c r="AP22" s="167">
        <f t="shared" si="24"/>
        <v>-0.41687037358452572</v>
      </c>
      <c r="AQ22" s="520"/>
      <c r="AR22" s="245">
        <f>AR23/AR24</f>
        <v>1.8297542114464271E-2</v>
      </c>
      <c r="AS22" s="246">
        <f>IF(AR22&lt;=0.2,4,0)</f>
        <v>4</v>
      </c>
      <c r="AT22" s="245">
        <f>AT23/AT24</f>
        <v>7.7872144889375291E-4</v>
      </c>
      <c r="AU22" s="246">
        <f>IF(AT22&lt;=0.2,4,0)</f>
        <v>4</v>
      </c>
      <c r="AV22" s="167">
        <f t="shared" si="25"/>
        <v>-0.95744119925931637</v>
      </c>
      <c r="AW22" s="520"/>
      <c r="AX22" s="245">
        <f>AX23/AX24</f>
        <v>8.5249454054967064E-3</v>
      </c>
      <c r="AY22" s="246">
        <f>IF(AX22&lt;=0.2,4,0)</f>
        <v>4</v>
      </c>
      <c r="AZ22" s="245">
        <f>AZ23/AZ24</f>
        <v>4.3829614973091022E-3</v>
      </c>
      <c r="BA22" s="246">
        <f>IF(AZ22&lt;=0.2,4,0)</f>
        <v>4</v>
      </c>
      <c r="BB22" s="167">
        <f t="shared" si="26"/>
        <v>-0.48586632654760931</v>
      </c>
      <c r="BC22" s="520"/>
      <c r="BD22" s="245">
        <f>BD23/BD24</f>
        <v>7.1579436607818964E-4</v>
      </c>
      <c r="BE22" s="246">
        <f>IF(BD22&lt;=0.2,4,0)</f>
        <v>4</v>
      </c>
      <c r="BF22" s="245">
        <f>BF23/BF24</f>
        <v>1.2581446937234932E-3</v>
      </c>
      <c r="BG22" s="246">
        <f>IF(BF22&lt;=0.2,4,0)</f>
        <v>4</v>
      </c>
      <c r="BH22" s="167">
        <f t="shared" si="27"/>
        <v>0.75769013189754575</v>
      </c>
      <c r="BI22" s="520"/>
      <c r="BJ22" s="245">
        <f>BJ23/BJ24</f>
        <v>3.7789722813242792E-3</v>
      </c>
      <c r="BK22" s="246">
        <f>IF(BJ22&lt;=0.2,4,0)</f>
        <v>4</v>
      </c>
      <c r="BL22" s="245">
        <f>BL23/BL24</f>
        <v>2.0563809364927397E-3</v>
      </c>
      <c r="BM22" s="246">
        <f>IF(BL22&lt;=0.2,4,0)</f>
        <v>4</v>
      </c>
      <c r="BN22" s="167">
        <f t="shared" si="28"/>
        <v>-0.45583593014021406</v>
      </c>
      <c r="BO22" s="520"/>
      <c r="BP22" s="245">
        <f>BP23/BP24</f>
        <v>1.5887696609614979E-4</v>
      </c>
      <c r="BQ22" s="246">
        <f>IF(BP22&lt;=0.2,4,0)</f>
        <v>4</v>
      </c>
      <c r="BR22" s="245">
        <f>BR23/BR24</f>
        <v>9.5299948130616978E-4</v>
      </c>
      <c r="BS22" s="246">
        <f>IF(BR22&lt;=0.2,4,0)</f>
        <v>4</v>
      </c>
      <c r="BT22" s="167">
        <f t="shared" si="29"/>
        <v>4.9983489408365829</v>
      </c>
      <c r="BU22" s="520"/>
      <c r="BV22" s="245">
        <f>BV23/BV24</f>
        <v>6.8957477953573612E-2</v>
      </c>
      <c r="BW22" s="246">
        <f>IF(BV22&lt;=0.2,4,0)</f>
        <v>4</v>
      </c>
      <c r="BX22" s="245">
        <f>BX23/BX24</f>
        <v>4.1499109257931501E-4</v>
      </c>
      <c r="BY22" s="246">
        <f>IF(BX22&lt;=0.2,4,0)</f>
        <v>4</v>
      </c>
      <c r="BZ22" s="167">
        <f t="shared" si="30"/>
        <v>-0.99398192763287085</v>
      </c>
      <c r="CA22" s="18"/>
      <c r="CD22" s="582">
        <f t="shared" si="31"/>
        <v>4</v>
      </c>
      <c r="CE22" s="583">
        <v>1</v>
      </c>
      <c r="CF22" s="584">
        <f>M22</f>
        <v>4</v>
      </c>
      <c r="CG22" s="584">
        <v>0</v>
      </c>
      <c r="CH22" s="582">
        <f t="shared" si="32"/>
        <v>0</v>
      </c>
    </row>
    <row r="23" spans="1:86" s="2" customFormat="1">
      <c r="A23" s="1585"/>
      <c r="B23" s="1588"/>
      <c r="C23" s="502">
        <v>8.1</v>
      </c>
      <c r="D23" s="17" t="s">
        <v>1360</v>
      </c>
      <c r="E23" s="495" t="s">
        <v>1241</v>
      </c>
      <c r="F23" s="45" t="s">
        <v>1346</v>
      </c>
      <c r="G23" s="51"/>
      <c r="H23" s="50"/>
      <c r="I23" s="51"/>
      <c r="J23" s="574">
        <f t="shared" si="19"/>
        <v>14342.379000000001</v>
      </c>
      <c r="K23" s="433"/>
      <c r="L23" s="574">
        <f t="shared" si="20"/>
        <v>5546.2300000000005</v>
      </c>
      <c r="M23" s="433"/>
      <c r="N23" s="512">
        <f t="shared" si="15"/>
        <v>0</v>
      </c>
      <c r="O23" s="65">
        <f t="shared" si="0"/>
        <v>0</v>
      </c>
      <c r="P23" s="510">
        <f t="shared" si="16"/>
        <v>0</v>
      </c>
      <c r="Q23" s="833">
        <f t="shared" si="17"/>
        <v>0</v>
      </c>
      <c r="R23" s="832">
        <f t="shared" si="18"/>
        <v>0</v>
      </c>
      <c r="S23" s="520"/>
      <c r="T23" s="638">
        <v>0</v>
      </c>
      <c r="U23" s="58"/>
      <c r="V23" s="638">
        <v>0</v>
      </c>
      <c r="W23" s="58"/>
      <c r="X23" s="167">
        <f t="shared" si="21"/>
        <v>0</v>
      </c>
      <c r="Y23" s="520"/>
      <c r="Z23" s="638">
        <v>848.32</v>
      </c>
      <c r="AA23" s="58"/>
      <c r="AB23" s="638">
        <v>11188.69</v>
      </c>
      <c r="AC23" s="58"/>
      <c r="AD23" s="167">
        <f t="shared" si="22"/>
        <v>12.189232836665409</v>
      </c>
      <c r="AE23" s="520"/>
      <c r="AF23" s="638">
        <v>7563.49</v>
      </c>
      <c r="AG23" s="58"/>
      <c r="AH23" s="638">
        <v>11665.34</v>
      </c>
      <c r="AI23" s="58"/>
      <c r="AJ23" s="167">
        <f t="shared" si="23"/>
        <v>0.54232239349823974</v>
      </c>
      <c r="AK23" s="520"/>
      <c r="AL23" s="638">
        <v>307.16000000000003</v>
      </c>
      <c r="AM23" s="58"/>
      <c r="AN23" s="638">
        <v>190.95</v>
      </c>
      <c r="AO23" s="58"/>
      <c r="AP23" s="167">
        <f t="shared" si="24"/>
        <v>-0.37833702304987638</v>
      </c>
      <c r="AQ23" s="520"/>
      <c r="AR23" s="638">
        <v>76816.19</v>
      </c>
      <c r="AS23" s="58"/>
      <c r="AT23" s="638">
        <v>4101.07</v>
      </c>
      <c r="AU23" s="58"/>
      <c r="AV23" s="167">
        <f t="shared" si="25"/>
        <v>-0.94661190564124564</v>
      </c>
      <c r="AW23" s="520"/>
      <c r="AX23" s="638">
        <v>25777.83</v>
      </c>
      <c r="AY23" s="276"/>
      <c r="AZ23" s="638">
        <v>21175.14</v>
      </c>
      <c r="BA23" s="276"/>
      <c r="BB23" s="167">
        <f t="shared" si="26"/>
        <v>-0.17855226758807863</v>
      </c>
      <c r="BC23" s="520"/>
      <c r="BD23" s="638">
        <v>331.61</v>
      </c>
      <c r="BE23" s="58"/>
      <c r="BF23" s="638">
        <v>1145.5899999999999</v>
      </c>
      <c r="BG23" s="58"/>
      <c r="BH23" s="167">
        <f t="shared" si="27"/>
        <v>2.4546304393715506</v>
      </c>
      <c r="BI23" s="520"/>
      <c r="BJ23" s="638">
        <v>10673.68</v>
      </c>
      <c r="BK23" s="58"/>
      <c r="BL23" s="638">
        <v>4301.45</v>
      </c>
      <c r="BM23" s="58"/>
      <c r="BN23" s="167">
        <f t="shared" si="28"/>
        <v>-0.59700403234873067</v>
      </c>
      <c r="BO23" s="520"/>
      <c r="BP23" s="638">
        <v>125.98</v>
      </c>
      <c r="BQ23" s="58"/>
      <c r="BR23" s="638">
        <v>1294.07</v>
      </c>
      <c r="BS23" s="58"/>
      <c r="BT23" s="167">
        <f t="shared" si="29"/>
        <v>9.2720273059215739</v>
      </c>
      <c r="BU23" s="520"/>
      <c r="BV23" s="638">
        <v>20979.53</v>
      </c>
      <c r="BW23" s="58"/>
      <c r="BX23" s="638">
        <v>400</v>
      </c>
      <c r="BY23" s="58"/>
      <c r="BZ23" s="167">
        <f t="shared" si="30"/>
        <v>-0.98093379594299779</v>
      </c>
      <c r="CA23" s="18"/>
      <c r="CD23" s="582">
        <f t="shared" si="31"/>
        <v>0</v>
      </c>
      <c r="CE23" s="583"/>
      <c r="CF23" s="584"/>
      <c r="CG23" s="584">
        <v>0</v>
      </c>
      <c r="CH23" s="582">
        <f t="shared" si="32"/>
        <v>0</v>
      </c>
    </row>
    <row r="24" spans="1:86" s="2" customFormat="1">
      <c r="A24" s="1586"/>
      <c r="B24" s="1589"/>
      <c r="C24" s="502">
        <v>8.1999999999999993</v>
      </c>
      <c r="D24" s="17" t="s">
        <v>1361</v>
      </c>
      <c r="E24" s="495" t="s">
        <v>1241</v>
      </c>
      <c r="F24" s="45" t="s">
        <v>1346</v>
      </c>
      <c r="G24" s="51"/>
      <c r="H24" s="50"/>
      <c r="I24" s="51"/>
      <c r="J24" s="575">
        <f t="shared" si="19"/>
        <v>1843829.2710000002</v>
      </c>
      <c r="K24" s="433"/>
      <c r="L24" s="575">
        <f t="shared" si="20"/>
        <v>2532859.9740000004</v>
      </c>
      <c r="M24" s="433"/>
      <c r="N24" s="512">
        <f t="shared" si="15"/>
        <v>0</v>
      </c>
      <c r="O24" s="65">
        <f t="shared" si="0"/>
        <v>0</v>
      </c>
      <c r="P24" s="510">
        <f t="shared" si="16"/>
        <v>0</v>
      </c>
      <c r="Q24" s="833">
        <f t="shared" si="17"/>
        <v>0</v>
      </c>
      <c r="R24" s="832">
        <f t="shared" si="18"/>
        <v>0</v>
      </c>
      <c r="S24" s="520"/>
      <c r="T24" s="638">
        <v>597367.59</v>
      </c>
      <c r="U24" s="58"/>
      <c r="V24" s="638">
        <v>1172604.6599999999</v>
      </c>
      <c r="W24" s="58"/>
      <c r="X24" s="167">
        <f t="shared" si="21"/>
        <v>0.9629532629984161</v>
      </c>
      <c r="Y24" s="520"/>
      <c r="Z24" s="638">
        <v>2254612.5499999998</v>
      </c>
      <c r="AA24" s="58"/>
      <c r="AB24" s="638">
        <v>3555368.98</v>
      </c>
      <c r="AC24" s="58"/>
      <c r="AD24" s="167">
        <f t="shared" si="22"/>
        <v>0.57693124701182041</v>
      </c>
      <c r="AE24" s="520"/>
      <c r="AF24" s="638">
        <v>3593665.55</v>
      </c>
      <c r="AG24" s="58"/>
      <c r="AH24" s="638">
        <v>4767700.8499999996</v>
      </c>
      <c r="AI24" s="58"/>
      <c r="AJ24" s="167">
        <f t="shared" si="23"/>
        <v>0.32669576054455041</v>
      </c>
      <c r="AK24" s="520"/>
      <c r="AL24" s="638">
        <v>385717.83</v>
      </c>
      <c r="AM24" s="58"/>
      <c r="AN24" s="638">
        <v>411206.16</v>
      </c>
      <c r="AO24" s="58"/>
      <c r="AP24" s="167">
        <f t="shared" si="24"/>
        <v>6.6080248351495507E-2</v>
      </c>
      <c r="AQ24" s="520"/>
      <c r="AR24" s="638">
        <v>4198169.87</v>
      </c>
      <c r="AS24" s="58"/>
      <c r="AT24" s="638">
        <v>5266414.59</v>
      </c>
      <c r="AU24" s="58"/>
      <c r="AV24" s="167">
        <f t="shared" si="25"/>
        <v>0.25445485844525861</v>
      </c>
      <c r="AW24" s="520"/>
      <c r="AX24" s="638">
        <v>3023811.74</v>
      </c>
      <c r="AY24" s="58"/>
      <c r="AZ24" s="638">
        <v>4831240.25</v>
      </c>
      <c r="BA24" s="58"/>
      <c r="BB24" s="167">
        <f t="shared" si="26"/>
        <v>0.59773182506395051</v>
      </c>
      <c r="BC24" s="520"/>
      <c r="BD24" s="638">
        <v>463275.51</v>
      </c>
      <c r="BE24" s="58"/>
      <c r="BF24" s="638">
        <v>910539.15</v>
      </c>
      <c r="BG24" s="58"/>
      <c r="BH24" s="167">
        <f t="shared" si="27"/>
        <v>0.96543769386816924</v>
      </c>
      <c r="BI24" s="520"/>
      <c r="BJ24" s="638">
        <v>2824492.8</v>
      </c>
      <c r="BK24" s="58"/>
      <c r="BL24" s="638">
        <v>2091757.38</v>
      </c>
      <c r="BM24" s="58"/>
      <c r="BN24" s="167">
        <f t="shared" si="28"/>
        <v>-0.25942194648186034</v>
      </c>
      <c r="BO24" s="520"/>
      <c r="BP24" s="638">
        <v>792940.62</v>
      </c>
      <c r="BQ24" s="58"/>
      <c r="BR24" s="638">
        <v>1357891.61</v>
      </c>
      <c r="BS24" s="58"/>
      <c r="BT24" s="167">
        <f t="shared" si="29"/>
        <v>0.71247578412618107</v>
      </c>
      <c r="BU24" s="520"/>
      <c r="BV24" s="638">
        <v>304238.65000000002</v>
      </c>
      <c r="BW24" s="58"/>
      <c r="BX24" s="638">
        <v>963876.11</v>
      </c>
      <c r="BY24" s="58"/>
      <c r="BZ24" s="167">
        <f t="shared" si="30"/>
        <v>2.1681579904459869</v>
      </c>
      <c r="CA24" s="18"/>
      <c r="CD24" s="582">
        <f t="shared" si="31"/>
        <v>0</v>
      </c>
      <c r="CE24" s="583"/>
      <c r="CF24" s="584"/>
      <c r="CG24" s="584">
        <v>0</v>
      </c>
      <c r="CH24" s="582">
        <f t="shared" si="32"/>
        <v>0</v>
      </c>
    </row>
    <row r="25" spans="1:86" s="2" customFormat="1">
      <c r="A25" s="1601" t="s">
        <v>1363</v>
      </c>
      <c r="B25" s="1604" t="s">
        <v>1364</v>
      </c>
      <c r="C25" s="13">
        <v>9</v>
      </c>
      <c r="D25" s="20" t="s">
        <v>1362</v>
      </c>
      <c r="E25" s="495" t="s">
        <v>1241</v>
      </c>
      <c r="F25" s="501" t="s">
        <v>1250</v>
      </c>
      <c r="G25" s="51" t="s">
        <v>1308</v>
      </c>
      <c r="H25" s="1590" t="s">
        <v>1329</v>
      </c>
      <c r="I25" s="1592">
        <v>4</v>
      </c>
      <c r="J25" s="576">
        <f t="shared" si="19"/>
        <v>0</v>
      </c>
      <c r="K25" s="1593">
        <f>AVERAGE(BW25,BQ25,BK25,BE25,AY25,AS25,AM25,AG25,AA25,U25)</f>
        <v>4</v>
      </c>
      <c r="L25" s="576">
        <f t="shared" si="20"/>
        <v>0</v>
      </c>
      <c r="M25" s="1593">
        <f>AVERAGE(BY25,BS25,BM25,BG25,BA25,AU25,AO25,AI25,AC25,W25)</f>
        <v>4</v>
      </c>
      <c r="N25" s="512">
        <f t="shared" si="15"/>
        <v>0</v>
      </c>
      <c r="O25" s="65">
        <f t="shared" si="0"/>
        <v>0</v>
      </c>
      <c r="P25" s="510">
        <f t="shared" si="16"/>
        <v>0</v>
      </c>
      <c r="Q25" s="833">
        <f t="shared" si="17"/>
        <v>0</v>
      </c>
      <c r="R25" s="832">
        <f t="shared" si="18"/>
        <v>0</v>
      </c>
      <c r="S25" s="520"/>
      <c r="T25" s="638">
        <v>0</v>
      </c>
      <c r="U25" s="1583">
        <f>4-SUM(T25:T28)</f>
        <v>4</v>
      </c>
      <c r="V25" s="638">
        <v>0</v>
      </c>
      <c r="W25" s="1583">
        <f>4-SUM(V25:V28)</f>
        <v>4</v>
      </c>
      <c r="X25" s="167">
        <f t="shared" si="21"/>
        <v>0</v>
      </c>
      <c r="Y25" s="520"/>
      <c r="Z25" s="638">
        <v>0</v>
      </c>
      <c r="AA25" s="1583">
        <f>4-SUM(Z25:Z28)</f>
        <v>4</v>
      </c>
      <c r="AB25" s="638">
        <v>0</v>
      </c>
      <c r="AC25" s="1583">
        <f>4-SUM(AB25:AB28)</f>
        <v>4</v>
      </c>
      <c r="AD25" s="167">
        <f t="shared" si="22"/>
        <v>0</v>
      </c>
      <c r="AE25" s="520"/>
      <c r="AF25" s="638">
        <v>0</v>
      </c>
      <c r="AG25" s="1583">
        <f>4-SUM(AF25:AF28)</f>
        <v>4</v>
      </c>
      <c r="AH25" s="638">
        <v>0</v>
      </c>
      <c r="AI25" s="1583">
        <f>4-SUM(AH25:AH28)</f>
        <v>4</v>
      </c>
      <c r="AJ25" s="167">
        <f t="shared" si="23"/>
        <v>0</v>
      </c>
      <c r="AK25" s="520"/>
      <c r="AL25" s="638">
        <v>0</v>
      </c>
      <c r="AM25" s="1583">
        <f>4-SUM(AL25:AL28)</f>
        <v>4</v>
      </c>
      <c r="AN25" s="638">
        <v>0</v>
      </c>
      <c r="AO25" s="1583">
        <f>4-SUM(AN25:AN28)</f>
        <v>4</v>
      </c>
      <c r="AP25" s="167">
        <f t="shared" si="24"/>
        <v>0</v>
      </c>
      <c r="AQ25" s="520"/>
      <c r="AR25" s="638">
        <v>0</v>
      </c>
      <c r="AS25" s="1583">
        <f>4-SUM(AR25:AR28)</f>
        <v>4</v>
      </c>
      <c r="AT25" s="638">
        <v>0</v>
      </c>
      <c r="AU25" s="1583">
        <f>4-SUM(AT25:AT28)</f>
        <v>4</v>
      </c>
      <c r="AV25" s="167">
        <f t="shared" si="25"/>
        <v>0</v>
      </c>
      <c r="AW25" s="520"/>
      <c r="AX25" s="638">
        <v>0</v>
      </c>
      <c r="AY25" s="1583">
        <f>4-SUM(AX25:AX28)</f>
        <v>4</v>
      </c>
      <c r="AZ25" s="638">
        <v>0</v>
      </c>
      <c r="BA25" s="1583">
        <f>4-SUM(AZ25:AZ28)</f>
        <v>4</v>
      </c>
      <c r="BB25" s="167">
        <f t="shared" si="26"/>
        <v>0</v>
      </c>
      <c r="BC25" s="520"/>
      <c r="BD25" s="638">
        <v>0</v>
      </c>
      <c r="BE25" s="1583">
        <f>4-SUM(BD25:BD28)</f>
        <v>4</v>
      </c>
      <c r="BF25" s="638">
        <v>0</v>
      </c>
      <c r="BG25" s="1583">
        <f>4-SUM(BF25:BF28)</f>
        <v>4</v>
      </c>
      <c r="BH25" s="167">
        <f t="shared" si="27"/>
        <v>0</v>
      </c>
      <c r="BI25" s="520"/>
      <c r="BJ25" s="638">
        <v>0</v>
      </c>
      <c r="BK25" s="1583">
        <f>4-SUM(BJ25:BJ28)</f>
        <v>4</v>
      </c>
      <c r="BL25" s="638">
        <v>0</v>
      </c>
      <c r="BM25" s="1583">
        <f>4-SUM(BL25:BL28)</f>
        <v>4</v>
      </c>
      <c r="BN25" s="167">
        <f t="shared" si="28"/>
        <v>0</v>
      </c>
      <c r="BO25" s="520"/>
      <c r="BP25" s="638">
        <v>0</v>
      </c>
      <c r="BQ25" s="1583">
        <f>4-SUM(BP25:BP28)</f>
        <v>4</v>
      </c>
      <c r="BR25" s="638">
        <v>0</v>
      </c>
      <c r="BS25" s="1583">
        <f>4-SUM(BR25:BR28)</f>
        <v>4</v>
      </c>
      <c r="BT25" s="167">
        <f t="shared" si="29"/>
        <v>0</v>
      </c>
      <c r="BU25" s="520"/>
      <c r="BV25" s="638">
        <v>0</v>
      </c>
      <c r="BW25" s="1583">
        <f>4-SUM(BV25:BV28)</f>
        <v>4</v>
      </c>
      <c r="BX25" s="638">
        <v>0</v>
      </c>
      <c r="BY25" s="1583">
        <f>4-SUM(BX25:BX28)</f>
        <v>4</v>
      </c>
      <c r="BZ25" s="167">
        <f t="shared" si="30"/>
        <v>0</v>
      </c>
      <c r="CA25" s="18"/>
      <c r="CD25" s="582">
        <f t="shared" si="31"/>
        <v>4</v>
      </c>
      <c r="CE25" s="583">
        <v>1</v>
      </c>
      <c r="CF25" s="584">
        <f>M25</f>
        <v>4</v>
      </c>
      <c r="CG25" s="584">
        <v>0</v>
      </c>
      <c r="CH25" s="582">
        <f t="shared" si="32"/>
        <v>0</v>
      </c>
    </row>
    <row r="26" spans="1:86" s="2" customFormat="1">
      <c r="A26" s="1602"/>
      <c r="B26" s="1605"/>
      <c r="C26" s="13">
        <v>10</v>
      </c>
      <c r="D26" s="20" t="s">
        <v>1365</v>
      </c>
      <c r="E26" s="495" t="s">
        <v>1241</v>
      </c>
      <c r="F26" s="501" t="s">
        <v>1250</v>
      </c>
      <c r="G26" s="51" t="s">
        <v>1308</v>
      </c>
      <c r="H26" s="1590"/>
      <c r="I26" s="1592"/>
      <c r="J26" s="576">
        <f t="shared" si="19"/>
        <v>0</v>
      </c>
      <c r="K26" s="1594"/>
      <c r="L26" s="576">
        <f t="shared" si="20"/>
        <v>0</v>
      </c>
      <c r="M26" s="1594"/>
      <c r="N26" s="512">
        <f t="shared" si="15"/>
        <v>0</v>
      </c>
      <c r="O26" s="65">
        <f t="shared" si="0"/>
        <v>0</v>
      </c>
      <c r="P26" s="510">
        <f t="shared" si="16"/>
        <v>0</v>
      </c>
      <c r="Q26" s="833">
        <f t="shared" si="17"/>
        <v>0</v>
      </c>
      <c r="R26" s="832">
        <f t="shared" si="18"/>
        <v>0</v>
      </c>
      <c r="S26" s="520"/>
      <c r="T26" s="638">
        <v>0</v>
      </c>
      <c r="U26" s="1583"/>
      <c r="V26" s="638">
        <v>0</v>
      </c>
      <c r="W26" s="1583"/>
      <c r="X26" s="167">
        <f t="shared" si="21"/>
        <v>0</v>
      </c>
      <c r="Y26" s="520"/>
      <c r="Z26" s="638">
        <v>0</v>
      </c>
      <c r="AA26" s="1583"/>
      <c r="AB26" s="638">
        <v>0</v>
      </c>
      <c r="AC26" s="1583"/>
      <c r="AD26" s="167">
        <f t="shared" si="22"/>
        <v>0</v>
      </c>
      <c r="AE26" s="520"/>
      <c r="AF26" s="638">
        <v>0</v>
      </c>
      <c r="AG26" s="1583"/>
      <c r="AH26" s="638">
        <v>0</v>
      </c>
      <c r="AI26" s="1583"/>
      <c r="AJ26" s="167">
        <f t="shared" si="23"/>
        <v>0</v>
      </c>
      <c r="AK26" s="520"/>
      <c r="AL26" s="638">
        <v>0</v>
      </c>
      <c r="AM26" s="1583"/>
      <c r="AN26" s="638">
        <v>0</v>
      </c>
      <c r="AO26" s="1583"/>
      <c r="AP26" s="167">
        <f t="shared" si="24"/>
        <v>0</v>
      </c>
      <c r="AQ26" s="520"/>
      <c r="AR26" s="638">
        <v>0</v>
      </c>
      <c r="AS26" s="1583"/>
      <c r="AT26" s="638">
        <v>0</v>
      </c>
      <c r="AU26" s="1583"/>
      <c r="AV26" s="167">
        <f t="shared" si="25"/>
        <v>0</v>
      </c>
      <c r="AW26" s="520"/>
      <c r="AX26" s="638">
        <v>0</v>
      </c>
      <c r="AY26" s="1583"/>
      <c r="AZ26" s="638">
        <v>0</v>
      </c>
      <c r="BA26" s="1583"/>
      <c r="BB26" s="167">
        <f t="shared" si="26"/>
        <v>0</v>
      </c>
      <c r="BC26" s="520"/>
      <c r="BD26" s="638">
        <v>0</v>
      </c>
      <c r="BE26" s="1583"/>
      <c r="BF26" s="638">
        <v>0</v>
      </c>
      <c r="BG26" s="1583"/>
      <c r="BH26" s="167">
        <f t="shared" si="27"/>
        <v>0</v>
      </c>
      <c r="BI26" s="520"/>
      <c r="BJ26" s="638">
        <v>0</v>
      </c>
      <c r="BK26" s="1583"/>
      <c r="BL26" s="638">
        <v>0</v>
      </c>
      <c r="BM26" s="1583"/>
      <c r="BN26" s="167">
        <f t="shared" si="28"/>
        <v>0</v>
      </c>
      <c r="BO26" s="520"/>
      <c r="BP26" s="638">
        <v>0</v>
      </c>
      <c r="BQ26" s="1583"/>
      <c r="BR26" s="638">
        <v>0</v>
      </c>
      <c r="BS26" s="1583"/>
      <c r="BT26" s="167">
        <f t="shared" si="29"/>
        <v>0</v>
      </c>
      <c r="BU26" s="520"/>
      <c r="BV26" s="638">
        <v>0</v>
      </c>
      <c r="BW26" s="1583"/>
      <c r="BX26" s="638">
        <v>0</v>
      </c>
      <c r="BY26" s="1583"/>
      <c r="BZ26" s="167">
        <f t="shared" si="30"/>
        <v>0</v>
      </c>
      <c r="CA26" s="18"/>
      <c r="CD26" s="582">
        <f t="shared" si="31"/>
        <v>0</v>
      </c>
      <c r="CE26" s="583">
        <v>1</v>
      </c>
      <c r="CF26" s="584"/>
      <c r="CG26" s="584">
        <v>0</v>
      </c>
      <c r="CH26" s="582">
        <f t="shared" si="32"/>
        <v>0</v>
      </c>
    </row>
    <row r="27" spans="1:86" s="2" customFormat="1">
      <c r="A27" s="1602"/>
      <c r="B27" s="1605"/>
      <c r="C27" s="13">
        <v>11</v>
      </c>
      <c r="D27" s="20" t="s">
        <v>1366</v>
      </c>
      <c r="E27" s="495" t="s">
        <v>1241</v>
      </c>
      <c r="F27" s="501" t="s">
        <v>1250</v>
      </c>
      <c r="G27" s="51" t="s">
        <v>1308</v>
      </c>
      <c r="H27" s="1590"/>
      <c r="I27" s="1592"/>
      <c r="J27" s="576">
        <f t="shared" si="19"/>
        <v>0</v>
      </c>
      <c r="K27" s="1594"/>
      <c r="L27" s="576">
        <f t="shared" si="20"/>
        <v>0</v>
      </c>
      <c r="M27" s="1594"/>
      <c r="N27" s="512">
        <f t="shared" si="15"/>
        <v>0</v>
      </c>
      <c r="O27" s="65">
        <f t="shared" si="0"/>
        <v>0</v>
      </c>
      <c r="P27" s="510">
        <f t="shared" si="16"/>
        <v>0</v>
      </c>
      <c r="Q27" s="833">
        <f t="shared" si="17"/>
        <v>0</v>
      </c>
      <c r="R27" s="832">
        <f t="shared" si="18"/>
        <v>0</v>
      </c>
      <c r="S27" s="520"/>
      <c r="T27" s="638">
        <v>0</v>
      </c>
      <c r="U27" s="1583"/>
      <c r="V27" s="638">
        <v>0</v>
      </c>
      <c r="W27" s="1583"/>
      <c r="X27" s="167">
        <f t="shared" si="21"/>
        <v>0</v>
      </c>
      <c r="Y27" s="520"/>
      <c r="Z27" s="638">
        <v>0</v>
      </c>
      <c r="AA27" s="1583"/>
      <c r="AB27" s="638">
        <v>0</v>
      </c>
      <c r="AC27" s="1583"/>
      <c r="AD27" s="167">
        <f t="shared" si="22"/>
        <v>0</v>
      </c>
      <c r="AE27" s="520"/>
      <c r="AF27" s="638">
        <v>0</v>
      </c>
      <c r="AG27" s="1583"/>
      <c r="AH27" s="638">
        <v>0</v>
      </c>
      <c r="AI27" s="1583"/>
      <c r="AJ27" s="167">
        <f t="shared" si="23"/>
        <v>0</v>
      </c>
      <c r="AK27" s="520"/>
      <c r="AL27" s="638">
        <v>0</v>
      </c>
      <c r="AM27" s="1583"/>
      <c r="AN27" s="638">
        <v>0</v>
      </c>
      <c r="AO27" s="1583"/>
      <c r="AP27" s="167">
        <f t="shared" si="24"/>
        <v>0</v>
      </c>
      <c r="AQ27" s="520"/>
      <c r="AR27" s="638">
        <v>0</v>
      </c>
      <c r="AS27" s="1583"/>
      <c r="AT27" s="638">
        <v>0</v>
      </c>
      <c r="AU27" s="1583"/>
      <c r="AV27" s="167">
        <f t="shared" si="25"/>
        <v>0</v>
      </c>
      <c r="AW27" s="520"/>
      <c r="AX27" s="638">
        <v>0</v>
      </c>
      <c r="AY27" s="1583"/>
      <c r="AZ27" s="638">
        <v>0</v>
      </c>
      <c r="BA27" s="1583"/>
      <c r="BB27" s="167">
        <f t="shared" si="26"/>
        <v>0</v>
      </c>
      <c r="BC27" s="520"/>
      <c r="BD27" s="638">
        <v>0</v>
      </c>
      <c r="BE27" s="1583"/>
      <c r="BF27" s="638">
        <v>0</v>
      </c>
      <c r="BG27" s="1583"/>
      <c r="BH27" s="167">
        <f t="shared" si="27"/>
        <v>0</v>
      </c>
      <c r="BI27" s="520"/>
      <c r="BJ27" s="638">
        <v>0</v>
      </c>
      <c r="BK27" s="1583"/>
      <c r="BL27" s="638">
        <v>0</v>
      </c>
      <c r="BM27" s="1583"/>
      <c r="BN27" s="167">
        <f t="shared" si="28"/>
        <v>0</v>
      </c>
      <c r="BO27" s="520"/>
      <c r="BP27" s="638">
        <v>0</v>
      </c>
      <c r="BQ27" s="1583"/>
      <c r="BR27" s="638">
        <v>0</v>
      </c>
      <c r="BS27" s="1583"/>
      <c r="BT27" s="167">
        <f t="shared" si="29"/>
        <v>0</v>
      </c>
      <c r="BU27" s="520"/>
      <c r="BV27" s="638">
        <v>0</v>
      </c>
      <c r="BW27" s="1583"/>
      <c r="BX27" s="638">
        <v>0</v>
      </c>
      <c r="BY27" s="1583"/>
      <c r="BZ27" s="167">
        <f t="shared" si="30"/>
        <v>0</v>
      </c>
      <c r="CA27" s="18"/>
      <c r="CD27" s="582">
        <f t="shared" si="31"/>
        <v>0</v>
      </c>
      <c r="CE27" s="583">
        <v>1</v>
      </c>
      <c r="CF27" s="584"/>
      <c r="CG27" s="584">
        <v>0</v>
      </c>
      <c r="CH27" s="582">
        <f t="shared" si="32"/>
        <v>0</v>
      </c>
    </row>
    <row r="28" spans="1:86" s="2" customFormat="1">
      <c r="A28" s="1603"/>
      <c r="B28" s="1606"/>
      <c r="C28" s="13">
        <v>12</v>
      </c>
      <c r="D28" s="20" t="s">
        <v>1367</v>
      </c>
      <c r="E28" s="495" t="s">
        <v>1241</v>
      </c>
      <c r="F28" s="501" t="s">
        <v>1250</v>
      </c>
      <c r="G28" s="51" t="s">
        <v>1308</v>
      </c>
      <c r="H28" s="1590"/>
      <c r="I28" s="1592"/>
      <c r="J28" s="576">
        <f t="shared" si="19"/>
        <v>0</v>
      </c>
      <c r="K28" s="1595"/>
      <c r="L28" s="576">
        <f t="shared" si="20"/>
        <v>0</v>
      </c>
      <c r="M28" s="1595"/>
      <c r="N28" s="512">
        <f t="shared" si="15"/>
        <v>0</v>
      </c>
      <c r="O28" s="65">
        <f t="shared" si="0"/>
        <v>0</v>
      </c>
      <c r="P28" s="510">
        <f t="shared" si="16"/>
        <v>0</v>
      </c>
      <c r="Q28" s="833">
        <f t="shared" si="17"/>
        <v>0</v>
      </c>
      <c r="R28" s="832">
        <f t="shared" si="18"/>
        <v>0</v>
      </c>
      <c r="S28" s="520"/>
      <c r="T28" s="638">
        <v>0</v>
      </c>
      <c r="U28" s="1583"/>
      <c r="V28" s="638">
        <v>0</v>
      </c>
      <c r="W28" s="1583"/>
      <c r="X28" s="167">
        <f t="shared" si="21"/>
        <v>0</v>
      </c>
      <c r="Y28" s="520"/>
      <c r="Z28" s="638">
        <v>0</v>
      </c>
      <c r="AA28" s="1583"/>
      <c r="AB28" s="638">
        <v>0</v>
      </c>
      <c r="AC28" s="1583"/>
      <c r="AD28" s="167">
        <f t="shared" si="22"/>
        <v>0</v>
      </c>
      <c r="AE28" s="520"/>
      <c r="AF28" s="638">
        <v>0</v>
      </c>
      <c r="AG28" s="1583"/>
      <c r="AH28" s="638">
        <v>0</v>
      </c>
      <c r="AI28" s="1583"/>
      <c r="AJ28" s="167">
        <f t="shared" si="23"/>
        <v>0</v>
      </c>
      <c r="AK28" s="520"/>
      <c r="AL28" s="638">
        <v>0</v>
      </c>
      <c r="AM28" s="1583"/>
      <c r="AN28" s="638">
        <v>0</v>
      </c>
      <c r="AO28" s="1583"/>
      <c r="AP28" s="167">
        <f t="shared" si="24"/>
        <v>0</v>
      </c>
      <c r="AQ28" s="520"/>
      <c r="AR28" s="638">
        <v>0</v>
      </c>
      <c r="AS28" s="1583"/>
      <c r="AT28" s="638">
        <v>0</v>
      </c>
      <c r="AU28" s="1583"/>
      <c r="AV28" s="167">
        <f t="shared" si="25"/>
        <v>0</v>
      </c>
      <c r="AW28" s="520"/>
      <c r="AX28" s="638">
        <v>0</v>
      </c>
      <c r="AY28" s="1583"/>
      <c r="AZ28" s="638">
        <v>0</v>
      </c>
      <c r="BA28" s="1583"/>
      <c r="BB28" s="167">
        <f t="shared" si="26"/>
        <v>0</v>
      </c>
      <c r="BC28" s="520"/>
      <c r="BD28" s="638">
        <v>0</v>
      </c>
      <c r="BE28" s="1583"/>
      <c r="BF28" s="638">
        <v>0</v>
      </c>
      <c r="BG28" s="1583"/>
      <c r="BH28" s="167">
        <f t="shared" si="27"/>
        <v>0</v>
      </c>
      <c r="BI28" s="520"/>
      <c r="BJ28" s="638">
        <v>0</v>
      </c>
      <c r="BK28" s="1583"/>
      <c r="BL28" s="638">
        <v>0</v>
      </c>
      <c r="BM28" s="1583"/>
      <c r="BN28" s="167">
        <f t="shared" si="28"/>
        <v>0</v>
      </c>
      <c r="BO28" s="520"/>
      <c r="BP28" s="638">
        <v>0</v>
      </c>
      <c r="BQ28" s="1583"/>
      <c r="BR28" s="638">
        <v>0</v>
      </c>
      <c r="BS28" s="1583"/>
      <c r="BT28" s="167">
        <f t="shared" si="29"/>
        <v>0</v>
      </c>
      <c r="BU28" s="520"/>
      <c r="BV28" s="638">
        <v>0</v>
      </c>
      <c r="BW28" s="1583"/>
      <c r="BX28" s="638">
        <v>0</v>
      </c>
      <c r="BY28" s="1583"/>
      <c r="BZ28" s="167">
        <f t="shared" si="30"/>
        <v>0</v>
      </c>
      <c r="CA28" s="18"/>
      <c r="CD28" s="582">
        <f t="shared" si="31"/>
        <v>0</v>
      </c>
      <c r="CE28" s="583">
        <v>1</v>
      </c>
      <c r="CF28" s="584"/>
      <c r="CG28" s="584">
        <v>0</v>
      </c>
      <c r="CH28" s="582">
        <f t="shared" si="32"/>
        <v>0</v>
      </c>
    </row>
    <row r="29" spans="1:86" s="2" customFormat="1" ht="14.25" customHeight="1">
      <c r="A29" s="1584" t="s">
        <v>1786</v>
      </c>
      <c r="B29" s="1587" t="s">
        <v>1368</v>
      </c>
      <c r="C29" s="13">
        <v>13</v>
      </c>
      <c r="D29" s="20" t="s">
        <v>1798</v>
      </c>
      <c r="E29" s="495" t="s">
        <v>1241</v>
      </c>
      <c r="F29" s="501" t="s">
        <v>1250</v>
      </c>
      <c r="G29" s="51" t="s">
        <v>1225</v>
      </c>
      <c r="H29" s="1611" t="s">
        <v>1329</v>
      </c>
      <c r="I29" s="1592">
        <v>20</v>
      </c>
      <c r="J29" s="576">
        <f t="shared" si="19"/>
        <v>0</v>
      </c>
      <c r="K29" s="1593">
        <f>AVERAGE(BW29,BQ29,BK29,BE29,AY29,AS29,AM29,AG29,AA29,U29)</f>
        <v>20</v>
      </c>
      <c r="L29" s="576">
        <f t="shared" si="20"/>
        <v>0</v>
      </c>
      <c r="M29" s="1593">
        <f>AVERAGE(BY29,BS29,BM29,BG29,BA29,AU29,AO29,AI29,AC29,W29)</f>
        <v>20</v>
      </c>
      <c r="N29" s="512">
        <f t="shared" si="15"/>
        <v>0</v>
      </c>
      <c r="O29" s="65">
        <f t="shared" si="0"/>
        <v>0</v>
      </c>
      <c r="P29" s="510">
        <f t="shared" si="16"/>
        <v>0</v>
      </c>
      <c r="Q29" s="833">
        <f t="shared" si="17"/>
        <v>0</v>
      </c>
      <c r="R29" s="832">
        <f t="shared" si="18"/>
        <v>0</v>
      </c>
      <c r="S29" s="520"/>
      <c r="T29" s="638">
        <v>0</v>
      </c>
      <c r="U29" s="1583">
        <f>20-T29*0.5-T30*3</f>
        <v>20</v>
      </c>
      <c r="V29" s="638">
        <v>0</v>
      </c>
      <c r="W29" s="1583">
        <f>20-V29*0.5-V30*3</f>
        <v>20</v>
      </c>
      <c r="X29" s="167">
        <f t="shared" si="21"/>
        <v>0</v>
      </c>
      <c r="Y29" s="520"/>
      <c r="Z29" s="638">
        <v>0</v>
      </c>
      <c r="AA29" s="1583">
        <f>20-Z29*0.5-Z30*3</f>
        <v>20</v>
      </c>
      <c r="AB29" s="638">
        <v>0</v>
      </c>
      <c r="AC29" s="1583">
        <f>20-AB29*0.5-AB30*3</f>
        <v>20</v>
      </c>
      <c r="AD29" s="167">
        <f t="shared" si="22"/>
        <v>0</v>
      </c>
      <c r="AE29" s="520"/>
      <c r="AF29" s="638">
        <v>0</v>
      </c>
      <c r="AG29" s="1583">
        <f>20-AF29*0.5-AF30*3</f>
        <v>20</v>
      </c>
      <c r="AH29" s="638">
        <v>0</v>
      </c>
      <c r="AI29" s="1583">
        <f>20-AH29*0.5-AH30*3</f>
        <v>20</v>
      </c>
      <c r="AJ29" s="167">
        <f t="shared" si="23"/>
        <v>0</v>
      </c>
      <c r="AK29" s="520"/>
      <c r="AL29" s="638">
        <v>0</v>
      </c>
      <c r="AM29" s="1583">
        <f>20-AL29*0.5-AL30*3</f>
        <v>20</v>
      </c>
      <c r="AN29" s="638">
        <v>0</v>
      </c>
      <c r="AO29" s="1583">
        <f>20-AN29*0.5-AN30*3</f>
        <v>20</v>
      </c>
      <c r="AP29" s="167">
        <f t="shared" si="24"/>
        <v>0</v>
      </c>
      <c r="AQ29" s="520"/>
      <c r="AR29" s="638">
        <v>0</v>
      </c>
      <c r="AS29" s="1583">
        <f>20-AR29*0.5-AR30*3</f>
        <v>20</v>
      </c>
      <c r="AT29" s="638">
        <v>0</v>
      </c>
      <c r="AU29" s="1583">
        <f>20-AT29*0.5-AT30*3</f>
        <v>20</v>
      </c>
      <c r="AV29" s="167">
        <f t="shared" si="25"/>
        <v>0</v>
      </c>
      <c r="AW29" s="520"/>
      <c r="AX29" s="638">
        <v>0</v>
      </c>
      <c r="AY29" s="1583">
        <f>20-AX29*0.5-AX30*3</f>
        <v>20</v>
      </c>
      <c r="AZ29" s="638">
        <v>0</v>
      </c>
      <c r="BA29" s="1583">
        <f>20-AZ29*0.5-AZ30*3</f>
        <v>20</v>
      </c>
      <c r="BB29" s="167">
        <f t="shared" si="26"/>
        <v>0</v>
      </c>
      <c r="BC29" s="520"/>
      <c r="BD29" s="638">
        <v>0</v>
      </c>
      <c r="BE29" s="1583">
        <f>20-BD29*0.5-BD30*3</f>
        <v>20</v>
      </c>
      <c r="BF29" s="638">
        <v>0</v>
      </c>
      <c r="BG29" s="1583">
        <f>20-BF29*0.5-BF30*3</f>
        <v>20</v>
      </c>
      <c r="BH29" s="167">
        <f t="shared" si="27"/>
        <v>0</v>
      </c>
      <c r="BI29" s="520"/>
      <c r="BJ29" s="638">
        <v>0</v>
      </c>
      <c r="BK29" s="1583">
        <f>20-BJ29*0.5-BJ30*3</f>
        <v>20</v>
      </c>
      <c r="BL29" s="638">
        <v>0</v>
      </c>
      <c r="BM29" s="1583">
        <f>20-BL29*0.5-BL30*3</f>
        <v>20</v>
      </c>
      <c r="BN29" s="167">
        <f t="shared" si="28"/>
        <v>0</v>
      </c>
      <c r="BO29" s="520"/>
      <c r="BP29" s="638">
        <v>0</v>
      </c>
      <c r="BQ29" s="1583">
        <f>20-BP29*0.5-BP30*3</f>
        <v>20</v>
      </c>
      <c r="BR29" s="638">
        <v>0</v>
      </c>
      <c r="BS29" s="1583">
        <f>20-BR29*0.5-BR30*3</f>
        <v>20</v>
      </c>
      <c r="BT29" s="167">
        <f t="shared" si="29"/>
        <v>0</v>
      </c>
      <c r="BU29" s="520"/>
      <c r="BV29" s="638">
        <v>0</v>
      </c>
      <c r="BW29" s="1583">
        <f>20-BV29*0.5-BV30*3</f>
        <v>20</v>
      </c>
      <c r="BX29" s="638">
        <v>0</v>
      </c>
      <c r="BY29" s="1583">
        <f>20-BX29*0.5-BX30*3</f>
        <v>20</v>
      </c>
      <c r="BZ29" s="167">
        <f t="shared" si="30"/>
        <v>0</v>
      </c>
      <c r="CA29" s="18"/>
      <c r="CD29" s="582">
        <f t="shared" si="31"/>
        <v>20</v>
      </c>
      <c r="CE29" s="583">
        <v>1</v>
      </c>
      <c r="CF29" s="584">
        <f>M29</f>
        <v>20</v>
      </c>
      <c r="CG29" s="584">
        <v>0</v>
      </c>
      <c r="CH29" s="582">
        <f t="shared" si="32"/>
        <v>0</v>
      </c>
    </row>
    <row r="30" spans="1:86" s="2" customFormat="1">
      <c r="A30" s="1586"/>
      <c r="B30" s="1589"/>
      <c r="C30" s="13">
        <v>14</v>
      </c>
      <c r="D30" s="20" t="s">
        <v>1369</v>
      </c>
      <c r="E30" s="495" t="s">
        <v>1241</v>
      </c>
      <c r="F30" s="501" t="s">
        <v>1250</v>
      </c>
      <c r="G30" s="51" t="s">
        <v>1225</v>
      </c>
      <c r="H30" s="1612"/>
      <c r="I30" s="1592"/>
      <c r="J30" s="576">
        <f t="shared" si="19"/>
        <v>0</v>
      </c>
      <c r="K30" s="1595"/>
      <c r="L30" s="576">
        <f t="shared" si="20"/>
        <v>0</v>
      </c>
      <c r="M30" s="1595"/>
      <c r="N30" s="512">
        <f t="shared" si="15"/>
        <v>0</v>
      </c>
      <c r="O30" s="65">
        <f t="shared" si="0"/>
        <v>0</v>
      </c>
      <c r="P30" s="510">
        <f t="shared" si="16"/>
        <v>0</v>
      </c>
      <c r="Q30" s="833">
        <f t="shared" si="17"/>
        <v>0</v>
      </c>
      <c r="R30" s="832">
        <f t="shared" si="18"/>
        <v>0</v>
      </c>
      <c r="S30" s="520"/>
      <c r="T30" s="638">
        <v>0</v>
      </c>
      <c r="U30" s="1583"/>
      <c r="V30" s="638">
        <v>0</v>
      </c>
      <c r="W30" s="1583"/>
      <c r="X30" s="167">
        <f t="shared" si="21"/>
        <v>0</v>
      </c>
      <c r="Y30" s="520"/>
      <c r="Z30" s="638">
        <v>0</v>
      </c>
      <c r="AA30" s="1583"/>
      <c r="AB30" s="638">
        <v>0</v>
      </c>
      <c r="AC30" s="1583"/>
      <c r="AD30" s="167">
        <f t="shared" si="22"/>
        <v>0</v>
      </c>
      <c r="AE30" s="520"/>
      <c r="AF30" s="638">
        <v>0</v>
      </c>
      <c r="AG30" s="1583"/>
      <c r="AH30" s="638">
        <v>0</v>
      </c>
      <c r="AI30" s="1583"/>
      <c r="AJ30" s="167">
        <f t="shared" si="23"/>
        <v>0</v>
      </c>
      <c r="AK30" s="520"/>
      <c r="AL30" s="638">
        <v>0</v>
      </c>
      <c r="AM30" s="1583"/>
      <c r="AN30" s="638">
        <v>0</v>
      </c>
      <c r="AO30" s="1583"/>
      <c r="AP30" s="167">
        <f t="shared" si="24"/>
        <v>0</v>
      </c>
      <c r="AQ30" s="520"/>
      <c r="AR30" s="638">
        <v>0</v>
      </c>
      <c r="AS30" s="1583"/>
      <c r="AT30" s="638">
        <v>0</v>
      </c>
      <c r="AU30" s="1583"/>
      <c r="AV30" s="167">
        <f t="shared" si="25"/>
        <v>0</v>
      </c>
      <c r="AW30" s="520"/>
      <c r="AX30" s="638">
        <v>0</v>
      </c>
      <c r="AY30" s="1583"/>
      <c r="AZ30" s="638">
        <v>0</v>
      </c>
      <c r="BA30" s="1583"/>
      <c r="BB30" s="167">
        <f t="shared" si="26"/>
        <v>0</v>
      </c>
      <c r="BC30" s="520"/>
      <c r="BD30" s="638">
        <v>0</v>
      </c>
      <c r="BE30" s="1583"/>
      <c r="BF30" s="638">
        <v>0</v>
      </c>
      <c r="BG30" s="1583"/>
      <c r="BH30" s="167">
        <f t="shared" si="27"/>
        <v>0</v>
      </c>
      <c r="BI30" s="520"/>
      <c r="BJ30" s="638">
        <v>0</v>
      </c>
      <c r="BK30" s="1583"/>
      <c r="BL30" s="638">
        <v>0</v>
      </c>
      <c r="BM30" s="1583"/>
      <c r="BN30" s="167">
        <f t="shared" si="28"/>
        <v>0</v>
      </c>
      <c r="BO30" s="520"/>
      <c r="BP30" s="638">
        <v>0</v>
      </c>
      <c r="BQ30" s="1583"/>
      <c r="BR30" s="638">
        <v>0</v>
      </c>
      <c r="BS30" s="1583"/>
      <c r="BT30" s="167">
        <f t="shared" si="29"/>
        <v>0</v>
      </c>
      <c r="BU30" s="520"/>
      <c r="BV30" s="638">
        <v>0</v>
      </c>
      <c r="BW30" s="1583"/>
      <c r="BX30" s="638">
        <v>0</v>
      </c>
      <c r="BY30" s="1583"/>
      <c r="BZ30" s="167">
        <f t="shared" si="30"/>
        <v>0</v>
      </c>
      <c r="CA30" s="18"/>
      <c r="CD30" s="582">
        <f t="shared" si="31"/>
        <v>0</v>
      </c>
      <c r="CE30" s="583">
        <v>1</v>
      </c>
      <c r="CF30" s="584"/>
      <c r="CG30" s="584">
        <v>0</v>
      </c>
      <c r="CH30" s="582">
        <f t="shared" si="32"/>
        <v>0</v>
      </c>
    </row>
    <row r="31" spans="1:86" s="2" customFormat="1">
      <c r="A31" s="1584" t="s">
        <v>1370</v>
      </c>
      <c r="B31" s="1587" t="s">
        <v>1371</v>
      </c>
      <c r="C31" s="13">
        <v>15</v>
      </c>
      <c r="D31" s="20" t="s">
        <v>1799</v>
      </c>
      <c r="E31" s="495" t="s">
        <v>1241</v>
      </c>
      <c r="F31" s="501" t="s">
        <v>1250</v>
      </c>
      <c r="G31" s="51" t="s">
        <v>1225</v>
      </c>
      <c r="H31" s="1590" t="s">
        <v>1329</v>
      </c>
      <c r="I31" s="1592">
        <v>12</v>
      </c>
      <c r="J31" s="576">
        <f t="shared" si="19"/>
        <v>0</v>
      </c>
      <c r="K31" s="1593">
        <f>AVERAGE(BW31,BQ31,BK31,BE31,AY31,AS31,AM31,AG31,AA31,U31)</f>
        <v>12</v>
      </c>
      <c r="L31" s="576">
        <f t="shared" si="20"/>
        <v>0</v>
      </c>
      <c r="M31" s="1593">
        <f>AVERAGE(BY31,BS31,BM31,BG31,BA31,AU31,AO31,AI31,AC31,W31)</f>
        <v>12</v>
      </c>
      <c r="N31" s="512">
        <f t="shared" si="15"/>
        <v>0</v>
      </c>
      <c r="O31" s="65">
        <f t="shared" si="0"/>
        <v>0</v>
      </c>
      <c r="P31" s="510">
        <f t="shared" si="16"/>
        <v>0</v>
      </c>
      <c r="Q31" s="833">
        <f t="shared" si="17"/>
        <v>0</v>
      </c>
      <c r="R31" s="832">
        <f t="shared" si="18"/>
        <v>0</v>
      </c>
      <c r="S31" s="520"/>
      <c r="T31" s="638">
        <v>0</v>
      </c>
      <c r="U31" s="1583">
        <f>12-T31*3-T32</f>
        <v>12</v>
      </c>
      <c r="V31" s="638">
        <v>0</v>
      </c>
      <c r="W31" s="1583">
        <f>12-V31*3-V32</f>
        <v>12</v>
      </c>
      <c r="X31" s="167">
        <f t="shared" si="21"/>
        <v>0</v>
      </c>
      <c r="Y31" s="520"/>
      <c r="Z31" s="638">
        <v>0</v>
      </c>
      <c r="AA31" s="1583">
        <f>12-Z31*3-Z32</f>
        <v>12</v>
      </c>
      <c r="AB31" s="638">
        <v>0</v>
      </c>
      <c r="AC31" s="1583">
        <f>12-AB31*3-AB32</f>
        <v>12</v>
      </c>
      <c r="AD31" s="167">
        <f t="shared" si="22"/>
        <v>0</v>
      </c>
      <c r="AE31" s="520"/>
      <c r="AF31" s="638">
        <v>0</v>
      </c>
      <c r="AG31" s="1583">
        <f>12-AF31*3-AF32</f>
        <v>12</v>
      </c>
      <c r="AH31" s="638">
        <v>0</v>
      </c>
      <c r="AI31" s="1583">
        <f>12-AH31*3-AH32</f>
        <v>12</v>
      </c>
      <c r="AJ31" s="167">
        <f t="shared" si="23"/>
        <v>0</v>
      </c>
      <c r="AK31" s="520"/>
      <c r="AL31" s="638">
        <v>0</v>
      </c>
      <c r="AM31" s="1583">
        <f>12-AL31*3-AL32</f>
        <v>12</v>
      </c>
      <c r="AN31" s="638">
        <v>0</v>
      </c>
      <c r="AO31" s="1583">
        <f>12-AN31*3-AN32</f>
        <v>12</v>
      </c>
      <c r="AP31" s="167">
        <f t="shared" si="24"/>
        <v>0</v>
      </c>
      <c r="AQ31" s="520"/>
      <c r="AR31" s="638">
        <v>0</v>
      </c>
      <c r="AS31" s="1583">
        <f>12-AR31*3-AR32</f>
        <v>12</v>
      </c>
      <c r="AT31" s="638">
        <v>0</v>
      </c>
      <c r="AU31" s="1583">
        <f>12-AT31*3-AT32</f>
        <v>12</v>
      </c>
      <c r="AV31" s="167">
        <f t="shared" si="25"/>
        <v>0</v>
      </c>
      <c r="AW31" s="520"/>
      <c r="AX31" s="638">
        <v>0</v>
      </c>
      <c r="AY31" s="1583">
        <f>12-AX31*3-AX32</f>
        <v>12</v>
      </c>
      <c r="AZ31" s="638">
        <v>0</v>
      </c>
      <c r="BA31" s="1583">
        <f>12-AZ31*3-AZ32</f>
        <v>12</v>
      </c>
      <c r="BB31" s="167">
        <f t="shared" si="26"/>
        <v>0</v>
      </c>
      <c r="BC31" s="520"/>
      <c r="BD31" s="638">
        <v>0</v>
      </c>
      <c r="BE31" s="1583">
        <f>12-BD31*3-BD32</f>
        <v>12</v>
      </c>
      <c r="BF31" s="638">
        <v>0</v>
      </c>
      <c r="BG31" s="1583">
        <f>12-BF31*3-BF32</f>
        <v>12</v>
      </c>
      <c r="BH31" s="167">
        <f t="shared" si="27"/>
        <v>0</v>
      </c>
      <c r="BI31" s="520"/>
      <c r="BJ31" s="638">
        <v>0</v>
      </c>
      <c r="BK31" s="1583">
        <f>12-BJ31*3-BJ32</f>
        <v>12</v>
      </c>
      <c r="BL31" s="638">
        <v>0</v>
      </c>
      <c r="BM31" s="1583">
        <f>12-BL31*3-BL32</f>
        <v>12</v>
      </c>
      <c r="BN31" s="167">
        <f t="shared" si="28"/>
        <v>0</v>
      </c>
      <c r="BO31" s="520"/>
      <c r="BP31" s="638">
        <v>0</v>
      </c>
      <c r="BQ31" s="1583">
        <f>12-BP31*3-BP32</f>
        <v>12</v>
      </c>
      <c r="BR31" s="638">
        <v>0</v>
      </c>
      <c r="BS31" s="1583">
        <f>12-BR31*3-BR32</f>
        <v>12</v>
      </c>
      <c r="BT31" s="167">
        <f t="shared" si="29"/>
        <v>0</v>
      </c>
      <c r="BU31" s="520"/>
      <c r="BV31" s="638">
        <v>0</v>
      </c>
      <c r="BW31" s="1583">
        <f>12-BV31*3-BV32</f>
        <v>12</v>
      </c>
      <c r="BX31" s="638">
        <v>0</v>
      </c>
      <c r="BY31" s="1583">
        <f>12-BX31*3-BX32</f>
        <v>12</v>
      </c>
      <c r="BZ31" s="167">
        <f t="shared" si="30"/>
        <v>0</v>
      </c>
      <c r="CA31" s="18"/>
      <c r="CD31" s="582">
        <f t="shared" si="31"/>
        <v>12</v>
      </c>
      <c r="CE31" s="583">
        <v>1</v>
      </c>
      <c r="CF31" s="584">
        <f>M31</f>
        <v>12</v>
      </c>
      <c r="CG31" s="584">
        <v>0</v>
      </c>
      <c r="CH31" s="582">
        <f t="shared" si="32"/>
        <v>0</v>
      </c>
    </row>
    <row r="32" spans="1:86" s="2" customFormat="1">
      <c r="A32" s="1586"/>
      <c r="B32" s="1589"/>
      <c r="C32" s="13">
        <v>16</v>
      </c>
      <c r="D32" s="20" t="s">
        <v>1372</v>
      </c>
      <c r="E32" s="495" t="s">
        <v>1241</v>
      </c>
      <c r="F32" s="501" t="s">
        <v>1250</v>
      </c>
      <c r="G32" s="51" t="s">
        <v>1225</v>
      </c>
      <c r="H32" s="1590"/>
      <c r="I32" s="1592"/>
      <c r="J32" s="576">
        <f t="shared" si="19"/>
        <v>0</v>
      </c>
      <c r="K32" s="1595"/>
      <c r="L32" s="576">
        <f t="shared" si="20"/>
        <v>0</v>
      </c>
      <c r="M32" s="1595"/>
      <c r="N32" s="512">
        <f t="shared" si="15"/>
        <v>0</v>
      </c>
      <c r="O32" s="65">
        <f t="shared" si="0"/>
        <v>0</v>
      </c>
      <c r="P32" s="510">
        <f t="shared" si="16"/>
        <v>0</v>
      </c>
      <c r="Q32" s="833">
        <f t="shared" si="17"/>
        <v>0</v>
      </c>
      <c r="R32" s="832">
        <f t="shared" si="18"/>
        <v>0</v>
      </c>
      <c r="S32" s="520"/>
      <c r="T32" s="638">
        <v>0</v>
      </c>
      <c r="U32" s="1583"/>
      <c r="V32" s="638">
        <v>0</v>
      </c>
      <c r="W32" s="1583"/>
      <c r="X32" s="167">
        <f t="shared" si="21"/>
        <v>0</v>
      </c>
      <c r="Y32" s="520"/>
      <c r="Z32" s="638">
        <v>0</v>
      </c>
      <c r="AA32" s="1583"/>
      <c r="AB32" s="638">
        <v>0</v>
      </c>
      <c r="AC32" s="1583"/>
      <c r="AD32" s="167">
        <f t="shared" si="22"/>
        <v>0</v>
      </c>
      <c r="AE32" s="520"/>
      <c r="AF32" s="638">
        <v>0</v>
      </c>
      <c r="AG32" s="1583"/>
      <c r="AH32" s="638">
        <v>0</v>
      </c>
      <c r="AI32" s="1583"/>
      <c r="AJ32" s="167">
        <f t="shared" si="23"/>
        <v>0</v>
      </c>
      <c r="AK32" s="520"/>
      <c r="AL32" s="638">
        <v>0</v>
      </c>
      <c r="AM32" s="1583"/>
      <c r="AN32" s="638">
        <v>0</v>
      </c>
      <c r="AO32" s="1583"/>
      <c r="AP32" s="167">
        <f t="shared" si="24"/>
        <v>0</v>
      </c>
      <c r="AQ32" s="520"/>
      <c r="AR32" s="638">
        <v>0</v>
      </c>
      <c r="AS32" s="1583"/>
      <c r="AT32" s="638">
        <v>0</v>
      </c>
      <c r="AU32" s="1583"/>
      <c r="AV32" s="167">
        <f t="shared" si="25"/>
        <v>0</v>
      </c>
      <c r="AW32" s="520"/>
      <c r="AX32" s="638">
        <v>0</v>
      </c>
      <c r="AY32" s="1583"/>
      <c r="AZ32" s="638">
        <v>0</v>
      </c>
      <c r="BA32" s="1583"/>
      <c r="BB32" s="167">
        <f t="shared" si="26"/>
        <v>0</v>
      </c>
      <c r="BC32" s="520"/>
      <c r="BD32" s="638">
        <v>0</v>
      </c>
      <c r="BE32" s="1583"/>
      <c r="BF32" s="638">
        <v>0</v>
      </c>
      <c r="BG32" s="1583"/>
      <c r="BH32" s="167">
        <f t="shared" si="27"/>
        <v>0</v>
      </c>
      <c r="BI32" s="520"/>
      <c r="BJ32" s="638">
        <v>0</v>
      </c>
      <c r="BK32" s="1583"/>
      <c r="BL32" s="638">
        <v>0</v>
      </c>
      <c r="BM32" s="1583"/>
      <c r="BN32" s="167">
        <f t="shared" si="28"/>
        <v>0</v>
      </c>
      <c r="BO32" s="520"/>
      <c r="BP32" s="638">
        <v>0</v>
      </c>
      <c r="BQ32" s="1583"/>
      <c r="BR32" s="638">
        <v>0</v>
      </c>
      <c r="BS32" s="1583"/>
      <c r="BT32" s="167">
        <f t="shared" si="29"/>
        <v>0</v>
      </c>
      <c r="BU32" s="520"/>
      <c r="BV32" s="638">
        <v>0</v>
      </c>
      <c r="BW32" s="1583"/>
      <c r="BX32" s="638">
        <v>0</v>
      </c>
      <c r="BY32" s="1583"/>
      <c r="BZ32" s="167">
        <f t="shared" si="30"/>
        <v>0</v>
      </c>
      <c r="CA32" s="18"/>
      <c r="CD32" s="582">
        <f t="shared" si="31"/>
        <v>0</v>
      </c>
      <c r="CE32" s="583">
        <v>1</v>
      </c>
      <c r="CF32" s="584"/>
      <c r="CG32" s="584">
        <v>0</v>
      </c>
      <c r="CH32" s="582">
        <f t="shared" si="32"/>
        <v>0</v>
      </c>
    </row>
    <row r="33" spans="1:86" s="2" customFormat="1">
      <c r="A33" s="263" t="s">
        <v>1313</v>
      </c>
      <c r="B33" s="263" t="s">
        <v>1374</v>
      </c>
      <c r="C33" s="13">
        <v>17</v>
      </c>
      <c r="D33" s="20" t="s">
        <v>1373</v>
      </c>
      <c r="E33" s="495" t="s">
        <v>1241</v>
      </c>
      <c r="F33" s="501" t="s">
        <v>1250</v>
      </c>
      <c r="G33" s="51" t="s">
        <v>1225</v>
      </c>
      <c r="H33" s="50" t="s">
        <v>1329</v>
      </c>
      <c r="I33" s="503" t="s">
        <v>1204</v>
      </c>
      <c r="J33" s="576">
        <f t="shared" si="19"/>
        <v>0</v>
      </c>
      <c r="K33" s="580"/>
      <c r="L33" s="576">
        <f t="shared" si="20"/>
        <v>0</v>
      </c>
      <c r="M33" s="580"/>
      <c r="N33" s="512">
        <f t="shared" si="15"/>
        <v>0</v>
      </c>
      <c r="O33" s="580"/>
      <c r="P33" s="580"/>
      <c r="Q33" s="580"/>
      <c r="R33" s="580"/>
      <c r="S33" s="520"/>
      <c r="T33" s="638">
        <v>0</v>
      </c>
      <c r="U33" s="631" t="s">
        <v>1315</v>
      </c>
      <c r="V33" s="638">
        <v>0</v>
      </c>
      <c r="W33" s="631" t="s">
        <v>1315</v>
      </c>
      <c r="X33" s="167">
        <f t="shared" si="21"/>
        <v>0</v>
      </c>
      <c r="Y33" s="520"/>
      <c r="Z33" s="638">
        <v>0</v>
      </c>
      <c r="AA33" s="631" t="s">
        <v>1315</v>
      </c>
      <c r="AB33" s="638">
        <v>0</v>
      </c>
      <c r="AC33" s="631" t="s">
        <v>1178</v>
      </c>
      <c r="AD33" s="167">
        <f t="shared" si="22"/>
        <v>0</v>
      </c>
      <c r="AE33" s="520"/>
      <c r="AF33" s="638">
        <v>0</v>
      </c>
      <c r="AG33" s="631" t="s">
        <v>1315</v>
      </c>
      <c r="AH33" s="638">
        <v>0</v>
      </c>
      <c r="AI33" s="631" t="s">
        <v>1178</v>
      </c>
      <c r="AJ33" s="167">
        <f t="shared" si="23"/>
        <v>0</v>
      </c>
      <c r="AK33" s="520"/>
      <c r="AL33" s="638">
        <v>0</v>
      </c>
      <c r="AM33" s="631" t="s">
        <v>1315</v>
      </c>
      <c r="AN33" s="638">
        <v>0</v>
      </c>
      <c r="AO33" s="631" t="s">
        <v>1178</v>
      </c>
      <c r="AP33" s="167">
        <f t="shared" si="24"/>
        <v>0</v>
      </c>
      <c r="AQ33" s="520"/>
      <c r="AR33" s="638">
        <v>0</v>
      </c>
      <c r="AS33" s="631" t="s">
        <v>1315</v>
      </c>
      <c r="AT33" s="638">
        <v>0</v>
      </c>
      <c r="AU33" s="631" t="s">
        <v>1178</v>
      </c>
      <c r="AV33" s="167">
        <f t="shared" si="25"/>
        <v>0</v>
      </c>
      <c r="AW33" s="520"/>
      <c r="AX33" s="638">
        <v>0</v>
      </c>
      <c r="AY33" s="631" t="s">
        <v>1315</v>
      </c>
      <c r="AZ33" s="638">
        <v>0</v>
      </c>
      <c r="BA33" s="631" t="s">
        <v>1178</v>
      </c>
      <c r="BB33" s="167">
        <f t="shared" si="26"/>
        <v>0</v>
      </c>
      <c r="BC33" s="520"/>
      <c r="BD33" s="638">
        <v>0</v>
      </c>
      <c r="BE33" s="631" t="s">
        <v>1315</v>
      </c>
      <c r="BF33" s="638">
        <v>0</v>
      </c>
      <c r="BG33" s="631" t="s">
        <v>1178</v>
      </c>
      <c r="BH33" s="167">
        <f t="shared" si="27"/>
        <v>0</v>
      </c>
      <c r="BI33" s="520"/>
      <c r="BJ33" s="638">
        <v>0</v>
      </c>
      <c r="BK33" s="631" t="s">
        <v>1315</v>
      </c>
      <c r="BL33" s="638">
        <v>0</v>
      </c>
      <c r="BM33" s="631" t="s">
        <v>1178</v>
      </c>
      <c r="BN33" s="167">
        <f t="shared" si="28"/>
        <v>0</v>
      </c>
      <c r="BO33" s="520"/>
      <c r="BP33" s="638">
        <v>0</v>
      </c>
      <c r="BQ33" s="631" t="s">
        <v>1315</v>
      </c>
      <c r="BR33" s="638">
        <v>0</v>
      </c>
      <c r="BS33" s="631" t="s">
        <v>1178</v>
      </c>
      <c r="BT33" s="167">
        <f t="shared" si="29"/>
        <v>0</v>
      </c>
      <c r="BU33" s="520"/>
      <c r="BV33" s="638">
        <v>0</v>
      </c>
      <c r="BW33" s="631" t="s">
        <v>1315</v>
      </c>
      <c r="BX33" s="638">
        <v>0</v>
      </c>
      <c r="BY33" s="631" t="s">
        <v>1178</v>
      </c>
      <c r="BZ33" s="167">
        <f t="shared" si="30"/>
        <v>0</v>
      </c>
      <c r="CA33" s="18"/>
      <c r="CD33" s="582">
        <f t="shared" si="31"/>
        <v>0</v>
      </c>
      <c r="CE33" s="583">
        <v>1</v>
      </c>
      <c r="CF33" s="584"/>
      <c r="CG33" s="584">
        <v>0</v>
      </c>
      <c r="CH33" s="582">
        <f t="shared" si="32"/>
        <v>0</v>
      </c>
    </row>
    <row r="34" spans="1:86" s="2" customFormat="1">
      <c r="A34" s="1584" t="s">
        <v>1375</v>
      </c>
      <c r="B34" s="1587" t="s">
        <v>1376</v>
      </c>
      <c r="C34" s="13">
        <v>18</v>
      </c>
      <c r="D34" s="20" t="s">
        <v>1316</v>
      </c>
      <c r="E34" s="495" t="s">
        <v>544</v>
      </c>
      <c r="F34" s="51"/>
      <c r="G34" s="1591" t="s">
        <v>1308</v>
      </c>
      <c r="H34" s="1590" t="s">
        <v>1329</v>
      </c>
      <c r="I34" s="1592">
        <v>2</v>
      </c>
      <c r="J34" s="576">
        <f t="shared" si="19"/>
        <v>0</v>
      </c>
      <c r="K34" s="1593">
        <f>AVERAGE(BW34,BQ34,BK34,BE34,AY34,AS34,AM34,AG34,AA34,U34)</f>
        <v>2</v>
      </c>
      <c r="L34" s="576">
        <f t="shared" si="20"/>
        <v>0</v>
      </c>
      <c r="M34" s="1593">
        <f>AVERAGE(BY34,BS34,BM34,BG34,BA34,AU34,AO34,AI34,AC34,W34)</f>
        <v>2</v>
      </c>
      <c r="N34" s="512">
        <f t="shared" si="15"/>
        <v>0</v>
      </c>
      <c r="O34" s="65">
        <f>I34-M34</f>
        <v>0</v>
      </c>
      <c r="P34" s="510">
        <f t="shared" si="16"/>
        <v>0</v>
      </c>
      <c r="Q34" s="833">
        <f t="shared" si="17"/>
        <v>0</v>
      </c>
      <c r="R34" s="832">
        <f t="shared" si="18"/>
        <v>0</v>
      </c>
      <c r="S34" s="520"/>
      <c r="T34" s="638">
        <v>0</v>
      </c>
      <c r="U34" s="1583">
        <f>2-T34*0.5-T35</f>
        <v>2</v>
      </c>
      <c r="V34" s="638">
        <v>0</v>
      </c>
      <c r="W34" s="1583">
        <f>2-V34*0.5-V35</f>
        <v>2</v>
      </c>
      <c r="X34" s="167">
        <f t="shared" si="21"/>
        <v>0</v>
      </c>
      <c r="Y34" s="520"/>
      <c r="Z34" s="638">
        <v>0</v>
      </c>
      <c r="AA34" s="1583">
        <f>2-Z34*0.5-Z35</f>
        <v>2</v>
      </c>
      <c r="AB34" s="638">
        <v>0</v>
      </c>
      <c r="AC34" s="1583">
        <f>2-AB34*0.5-AB35</f>
        <v>2</v>
      </c>
      <c r="AD34" s="167">
        <f t="shared" si="22"/>
        <v>0</v>
      </c>
      <c r="AE34" s="520"/>
      <c r="AF34" s="638">
        <v>0</v>
      </c>
      <c r="AG34" s="1583">
        <f>2-AF34*0.5-AF35</f>
        <v>2</v>
      </c>
      <c r="AH34" s="638">
        <v>0</v>
      </c>
      <c r="AI34" s="1583">
        <f>2-AH34*0.5-AH35</f>
        <v>2</v>
      </c>
      <c r="AJ34" s="167">
        <f t="shared" si="23"/>
        <v>0</v>
      </c>
      <c r="AK34" s="520"/>
      <c r="AL34" s="638">
        <v>0</v>
      </c>
      <c r="AM34" s="1583">
        <f>2-AL34*0.5-AL35</f>
        <v>2</v>
      </c>
      <c r="AN34" s="638">
        <v>0</v>
      </c>
      <c r="AO34" s="1583">
        <f>2-AN34*0.5-AN35</f>
        <v>2</v>
      </c>
      <c r="AP34" s="167">
        <f t="shared" si="24"/>
        <v>0</v>
      </c>
      <c r="AQ34" s="520"/>
      <c r="AR34" s="638">
        <v>0</v>
      </c>
      <c r="AS34" s="1583">
        <f>2-AR34*0.5-AR35</f>
        <v>2</v>
      </c>
      <c r="AT34" s="638">
        <v>0</v>
      </c>
      <c r="AU34" s="1583">
        <f>2-AT34*0.5-AT35</f>
        <v>2</v>
      </c>
      <c r="AV34" s="167">
        <f t="shared" si="25"/>
        <v>0</v>
      </c>
      <c r="AW34" s="520"/>
      <c r="AX34" s="638">
        <v>0</v>
      </c>
      <c r="AY34" s="1583">
        <f>2-AX34*0.5-AX35</f>
        <v>2</v>
      </c>
      <c r="AZ34" s="638">
        <v>0</v>
      </c>
      <c r="BA34" s="1583">
        <f>2-AZ34*0.5-AZ35</f>
        <v>2</v>
      </c>
      <c r="BB34" s="167">
        <f t="shared" si="26"/>
        <v>0</v>
      </c>
      <c r="BC34" s="520"/>
      <c r="BD34" s="638">
        <v>0</v>
      </c>
      <c r="BE34" s="1583">
        <f>2-BD34*0.5-BD35</f>
        <v>2</v>
      </c>
      <c r="BF34" s="638">
        <v>0</v>
      </c>
      <c r="BG34" s="1583">
        <f>2-BF34*0.5-BF35</f>
        <v>2</v>
      </c>
      <c r="BH34" s="167">
        <f t="shared" si="27"/>
        <v>0</v>
      </c>
      <c r="BI34" s="520"/>
      <c r="BJ34" s="638">
        <v>0</v>
      </c>
      <c r="BK34" s="1583">
        <f>2-BJ34*0.5-BJ35</f>
        <v>2</v>
      </c>
      <c r="BL34" s="638">
        <v>0</v>
      </c>
      <c r="BM34" s="1583">
        <f>2-BL34*0.5-BL35</f>
        <v>2</v>
      </c>
      <c r="BN34" s="167">
        <f t="shared" si="28"/>
        <v>0</v>
      </c>
      <c r="BO34" s="520"/>
      <c r="BP34" s="638">
        <v>0</v>
      </c>
      <c r="BQ34" s="1583">
        <f>2-BP34*0.5-BP35</f>
        <v>2</v>
      </c>
      <c r="BR34" s="638">
        <v>0</v>
      </c>
      <c r="BS34" s="1583">
        <f>2-BR34*0.5-BR35</f>
        <v>2</v>
      </c>
      <c r="BT34" s="167">
        <f t="shared" si="29"/>
        <v>0</v>
      </c>
      <c r="BU34" s="520"/>
      <c r="BV34" s="638">
        <v>0</v>
      </c>
      <c r="BW34" s="1583">
        <f>2-BV34*0.5-BV35</f>
        <v>2</v>
      </c>
      <c r="BX34" s="638">
        <v>0</v>
      </c>
      <c r="BY34" s="1583">
        <f>2-BX34*0.5-BX35</f>
        <v>2</v>
      </c>
      <c r="BZ34" s="167">
        <f t="shared" si="30"/>
        <v>0</v>
      </c>
      <c r="CA34" s="18"/>
      <c r="CD34" s="582">
        <f t="shared" si="31"/>
        <v>2</v>
      </c>
      <c r="CE34" s="583">
        <v>1</v>
      </c>
      <c r="CF34" s="584">
        <f>M34</f>
        <v>2</v>
      </c>
      <c r="CG34" s="583">
        <v>1</v>
      </c>
      <c r="CH34" s="582">
        <f t="shared" si="32"/>
        <v>0</v>
      </c>
    </row>
    <row r="35" spans="1:86" s="2" customFormat="1">
      <c r="A35" s="1586"/>
      <c r="B35" s="1589"/>
      <c r="C35" s="13">
        <v>19</v>
      </c>
      <c r="D35" s="20" t="s">
        <v>1319</v>
      </c>
      <c r="E35" s="495" t="s">
        <v>544</v>
      </c>
      <c r="F35" s="51"/>
      <c r="G35" s="1591"/>
      <c r="H35" s="1590"/>
      <c r="I35" s="1592"/>
      <c r="J35" s="576">
        <f t="shared" si="19"/>
        <v>0</v>
      </c>
      <c r="K35" s="1595"/>
      <c r="L35" s="576">
        <f t="shared" si="20"/>
        <v>0</v>
      </c>
      <c r="M35" s="1595"/>
      <c r="N35" s="512">
        <f t="shared" si="15"/>
        <v>0</v>
      </c>
      <c r="O35" s="65">
        <f>I35-M35</f>
        <v>0</v>
      </c>
      <c r="P35" s="510">
        <f t="shared" si="16"/>
        <v>0</v>
      </c>
      <c r="Q35" s="833">
        <f t="shared" si="17"/>
        <v>0</v>
      </c>
      <c r="R35" s="832">
        <f t="shared" si="18"/>
        <v>0</v>
      </c>
      <c r="S35" s="520"/>
      <c r="T35" s="638">
        <v>0</v>
      </c>
      <c r="U35" s="1583"/>
      <c r="V35" s="638">
        <v>0</v>
      </c>
      <c r="W35" s="1583"/>
      <c r="X35" s="167">
        <f t="shared" si="21"/>
        <v>0</v>
      </c>
      <c r="Y35" s="520"/>
      <c r="Z35" s="638">
        <v>0</v>
      </c>
      <c r="AA35" s="1583"/>
      <c r="AB35" s="638">
        <v>0</v>
      </c>
      <c r="AC35" s="1583"/>
      <c r="AD35" s="167">
        <f t="shared" si="22"/>
        <v>0</v>
      </c>
      <c r="AE35" s="520"/>
      <c r="AF35" s="638">
        <v>0</v>
      </c>
      <c r="AG35" s="1583"/>
      <c r="AH35" s="638">
        <v>0</v>
      </c>
      <c r="AI35" s="1583"/>
      <c r="AJ35" s="167">
        <f t="shared" si="23"/>
        <v>0</v>
      </c>
      <c r="AK35" s="520"/>
      <c r="AL35" s="638">
        <v>0</v>
      </c>
      <c r="AM35" s="1583"/>
      <c r="AN35" s="638">
        <v>0</v>
      </c>
      <c r="AO35" s="1583"/>
      <c r="AP35" s="167">
        <f t="shared" si="24"/>
        <v>0</v>
      </c>
      <c r="AQ35" s="520"/>
      <c r="AR35" s="638">
        <v>0</v>
      </c>
      <c r="AS35" s="1583"/>
      <c r="AT35" s="638">
        <v>0</v>
      </c>
      <c r="AU35" s="1583"/>
      <c r="AV35" s="167">
        <f t="shared" si="25"/>
        <v>0</v>
      </c>
      <c r="AW35" s="520"/>
      <c r="AX35" s="638">
        <v>0</v>
      </c>
      <c r="AY35" s="1583"/>
      <c r="AZ35" s="638">
        <v>0</v>
      </c>
      <c r="BA35" s="1583"/>
      <c r="BB35" s="167">
        <f t="shared" si="26"/>
        <v>0</v>
      </c>
      <c r="BC35" s="520"/>
      <c r="BD35" s="638">
        <v>0</v>
      </c>
      <c r="BE35" s="1583"/>
      <c r="BF35" s="638">
        <v>0</v>
      </c>
      <c r="BG35" s="1583"/>
      <c r="BH35" s="167">
        <f t="shared" si="27"/>
        <v>0</v>
      </c>
      <c r="BI35" s="520"/>
      <c r="BJ35" s="638">
        <v>0</v>
      </c>
      <c r="BK35" s="1583"/>
      <c r="BL35" s="638">
        <v>0</v>
      </c>
      <c r="BM35" s="1583"/>
      <c r="BN35" s="167">
        <f t="shared" si="28"/>
        <v>0</v>
      </c>
      <c r="BO35" s="520"/>
      <c r="BP35" s="638">
        <v>0</v>
      </c>
      <c r="BQ35" s="1583"/>
      <c r="BR35" s="638">
        <v>0</v>
      </c>
      <c r="BS35" s="1583"/>
      <c r="BT35" s="167">
        <f t="shared" si="29"/>
        <v>0</v>
      </c>
      <c r="BU35" s="520"/>
      <c r="BV35" s="638">
        <v>0</v>
      </c>
      <c r="BW35" s="1583"/>
      <c r="BX35" s="638">
        <v>0</v>
      </c>
      <c r="BY35" s="1583"/>
      <c r="BZ35" s="167">
        <f t="shared" si="30"/>
        <v>0</v>
      </c>
      <c r="CA35" s="18"/>
      <c r="CD35" s="582">
        <f t="shared" si="31"/>
        <v>0</v>
      </c>
      <c r="CE35" s="583">
        <v>1</v>
      </c>
      <c r="CF35" s="584"/>
      <c r="CG35" s="583">
        <v>1</v>
      </c>
      <c r="CH35" s="582">
        <f t="shared" si="32"/>
        <v>0</v>
      </c>
    </row>
    <row r="36" spans="1:86" s="2" customFormat="1">
      <c r="A36" s="262" t="s">
        <v>1378</v>
      </c>
      <c r="B36" s="262" t="s">
        <v>1379</v>
      </c>
      <c r="C36" s="13">
        <v>20</v>
      </c>
      <c r="D36" s="20" t="s">
        <v>1377</v>
      </c>
      <c r="E36" s="495" t="s">
        <v>544</v>
      </c>
      <c r="F36" s="51"/>
      <c r="G36" s="51" t="s">
        <v>486</v>
      </c>
      <c r="H36" s="50" t="s">
        <v>1329</v>
      </c>
      <c r="I36" s="503">
        <v>2</v>
      </c>
      <c r="J36" s="502" t="s">
        <v>1380</v>
      </c>
      <c r="K36" s="433">
        <f>AVERAGE(BW36,BQ36,BK36,BE36,AY36,AS36,AM36,AG36,AA36,U36)</f>
        <v>2</v>
      </c>
      <c r="L36" s="502" t="s">
        <v>1380</v>
      </c>
      <c r="M36" s="433">
        <f>AVERAGE(BY36,BS36,BM36,BG36,BA36,AU36,AO36,AI36,AC36,W36)</f>
        <v>2</v>
      </c>
      <c r="N36" s="512">
        <f t="shared" si="15"/>
        <v>0</v>
      </c>
      <c r="O36" s="65">
        <f>I36-M36</f>
        <v>0</v>
      </c>
      <c r="P36" s="510">
        <f t="shared" si="16"/>
        <v>0</v>
      </c>
      <c r="Q36" s="833">
        <f t="shared" si="17"/>
        <v>0</v>
      </c>
      <c r="R36" s="832">
        <f t="shared" si="18"/>
        <v>0</v>
      </c>
      <c r="S36" s="520"/>
      <c r="T36" s="638" t="s">
        <v>1380</v>
      </c>
      <c r="U36" s="631">
        <v>2</v>
      </c>
      <c r="V36" s="638" t="s">
        <v>1380</v>
      </c>
      <c r="W36" s="631">
        <f>IF(LEFT(V36,1)="1",2,0)</f>
        <v>2</v>
      </c>
      <c r="X36" s="167">
        <f>IF((V36=T36)=TRUE,0,1)</f>
        <v>0</v>
      </c>
      <c r="Y36" s="520"/>
      <c r="Z36" s="638" t="s">
        <v>1380</v>
      </c>
      <c r="AA36" s="631">
        <v>2</v>
      </c>
      <c r="AB36" s="638" t="s">
        <v>1380</v>
      </c>
      <c r="AC36" s="631">
        <f>IF(LEFT(AB36,1)="1",2,0)</f>
        <v>2</v>
      </c>
      <c r="AD36" s="167">
        <f>IF((AB36=Z36)=TRUE,0,1)</f>
        <v>0</v>
      </c>
      <c r="AE36" s="520"/>
      <c r="AF36" s="638" t="s">
        <v>1380</v>
      </c>
      <c r="AG36" s="631">
        <v>2</v>
      </c>
      <c r="AH36" s="638" t="s">
        <v>1380</v>
      </c>
      <c r="AI36" s="631">
        <f>IF(LEFT(AH36,1)="1",2,0)</f>
        <v>2</v>
      </c>
      <c r="AJ36" s="167">
        <f>IF((AH36=AF36)=TRUE,0,1)</f>
        <v>0</v>
      </c>
      <c r="AK36" s="520"/>
      <c r="AL36" s="638" t="s">
        <v>1380</v>
      </c>
      <c r="AM36" s="631">
        <v>2</v>
      </c>
      <c r="AN36" s="638" t="s">
        <v>1380</v>
      </c>
      <c r="AO36" s="631">
        <f>IF(LEFT(AN36,1)="1",2,0)</f>
        <v>2</v>
      </c>
      <c r="AP36" s="167">
        <f>IF((AN36=AL36)=TRUE,0,1)</f>
        <v>0</v>
      </c>
      <c r="AQ36" s="520"/>
      <c r="AR36" s="638" t="s">
        <v>1380</v>
      </c>
      <c r="AS36" s="631">
        <v>2</v>
      </c>
      <c r="AT36" s="638" t="s">
        <v>1380</v>
      </c>
      <c r="AU36" s="631">
        <f>IF(LEFT(AT36,1)="1",2,0)</f>
        <v>2</v>
      </c>
      <c r="AV36" s="167">
        <f>IF((AT36=AR36)=TRUE,0,1)</f>
        <v>0</v>
      </c>
      <c r="AW36" s="520"/>
      <c r="AX36" s="638" t="s">
        <v>1380</v>
      </c>
      <c r="AY36" s="631">
        <v>2</v>
      </c>
      <c r="AZ36" s="638" t="s">
        <v>1380</v>
      </c>
      <c r="BA36" s="631">
        <f>IF(LEFT(AZ36,1)="1",2,0)</f>
        <v>2</v>
      </c>
      <c r="BB36" s="167">
        <f>IF((AZ36=AX36)=TRUE,0,1)</f>
        <v>0</v>
      </c>
      <c r="BC36" s="520"/>
      <c r="BD36" s="638" t="s">
        <v>1380</v>
      </c>
      <c r="BE36" s="631">
        <v>2</v>
      </c>
      <c r="BF36" s="638" t="s">
        <v>1380</v>
      </c>
      <c r="BG36" s="631">
        <f>IF(LEFT(BF36,1)="1",2,0)</f>
        <v>2</v>
      </c>
      <c r="BH36" s="167">
        <f>IF((BF36=BD36)=TRUE,0,1)</f>
        <v>0</v>
      </c>
      <c r="BI36" s="520"/>
      <c r="BJ36" s="638" t="s">
        <v>1380</v>
      </c>
      <c r="BK36" s="631">
        <v>2</v>
      </c>
      <c r="BL36" s="638" t="s">
        <v>1380</v>
      </c>
      <c r="BM36" s="631">
        <f>IF(LEFT(BL36,1)="1",2,0)</f>
        <v>2</v>
      </c>
      <c r="BN36" s="167">
        <f>IF((BL36=BJ36)=TRUE,0,1)</f>
        <v>0</v>
      </c>
      <c r="BO36" s="520"/>
      <c r="BP36" s="638" t="s">
        <v>1380</v>
      </c>
      <c r="BQ36" s="631">
        <v>2</v>
      </c>
      <c r="BR36" s="638" t="s">
        <v>1380</v>
      </c>
      <c r="BS36" s="631">
        <f>IF(LEFT(BR36,1)="1",2,0)</f>
        <v>2</v>
      </c>
      <c r="BT36" s="167">
        <f>IF((BR36=BP36)=TRUE,0,1)</f>
        <v>0</v>
      </c>
      <c r="BU36" s="520"/>
      <c r="BV36" s="638" t="s">
        <v>1380</v>
      </c>
      <c r="BW36" s="631">
        <v>2</v>
      </c>
      <c r="BX36" s="638" t="s">
        <v>1380</v>
      </c>
      <c r="BY36" s="631">
        <f>IF(LEFT(BX36,1)="1",2,0)</f>
        <v>2</v>
      </c>
      <c r="BZ36" s="167">
        <f>IF((BX36=BV36)=TRUE,0,1)</f>
        <v>0</v>
      </c>
      <c r="CA36" s="18"/>
      <c r="CD36" s="582">
        <f t="shared" si="31"/>
        <v>2</v>
      </c>
      <c r="CE36" s="583">
        <v>1</v>
      </c>
      <c r="CF36" s="584">
        <f>M36</f>
        <v>2</v>
      </c>
      <c r="CG36" s="583">
        <v>1</v>
      </c>
      <c r="CH36" s="582">
        <f t="shared" si="32"/>
        <v>0</v>
      </c>
    </row>
    <row r="37" spans="1:86" s="2" customFormat="1" ht="17.25" customHeight="1">
      <c r="A37" s="262" t="s">
        <v>1382</v>
      </c>
      <c r="B37" s="262" t="s">
        <v>1383</v>
      </c>
      <c r="C37" s="13">
        <v>21</v>
      </c>
      <c r="D37" s="20" t="s">
        <v>1381</v>
      </c>
      <c r="E37" s="495" t="s">
        <v>544</v>
      </c>
      <c r="F37" s="51"/>
      <c r="G37" s="51" t="s">
        <v>486</v>
      </c>
      <c r="H37" s="50" t="s">
        <v>1329</v>
      </c>
      <c r="I37" s="503">
        <v>1</v>
      </c>
      <c r="J37" s="502" t="s">
        <v>1384</v>
      </c>
      <c r="K37" s="433">
        <f>AVERAGE(BW37,BQ37,BK37,BE37,AY37,AS37,AM37,AG37,AA37,U37)</f>
        <v>1</v>
      </c>
      <c r="L37" s="502" t="s">
        <v>1384</v>
      </c>
      <c r="M37" s="433">
        <f>AVERAGE(BY37,BS37,BM37,BG37,BA37,AU37,AO37,AI37,AC37,W37)</f>
        <v>1</v>
      </c>
      <c r="N37" s="512">
        <f t="shared" si="15"/>
        <v>0</v>
      </c>
      <c r="O37" s="65">
        <f>I37-M37</f>
        <v>0</v>
      </c>
      <c r="P37" s="510">
        <f t="shared" si="16"/>
        <v>0</v>
      </c>
      <c r="Q37" s="833">
        <f t="shared" si="17"/>
        <v>0</v>
      </c>
      <c r="R37" s="832">
        <f t="shared" si="18"/>
        <v>0</v>
      </c>
      <c r="S37" s="520"/>
      <c r="T37" s="638" t="s">
        <v>1823</v>
      </c>
      <c r="U37" s="631">
        <v>1</v>
      </c>
      <c r="V37" s="638" t="s">
        <v>1384</v>
      </c>
      <c r="W37" s="631">
        <f>IF(LEFT(V37,1)="1",1,0)</f>
        <v>1</v>
      </c>
      <c r="X37" s="167">
        <f>IF((V37=T37)=TRUE,0,1)</f>
        <v>0</v>
      </c>
      <c r="Y37" s="520"/>
      <c r="Z37" s="638" t="s">
        <v>1384</v>
      </c>
      <c r="AA37" s="631">
        <v>1</v>
      </c>
      <c r="AB37" s="638" t="s">
        <v>1384</v>
      </c>
      <c r="AC37" s="631">
        <f>IF(LEFT(AB37,1)="1",1,0)</f>
        <v>1</v>
      </c>
      <c r="AD37" s="167">
        <f>IF((AB37=Z37)=TRUE,0,1)</f>
        <v>0</v>
      </c>
      <c r="AE37" s="520"/>
      <c r="AF37" s="638" t="s">
        <v>1384</v>
      </c>
      <c r="AG37" s="631">
        <v>1</v>
      </c>
      <c r="AH37" s="638" t="s">
        <v>1384</v>
      </c>
      <c r="AI37" s="631">
        <f>IF(LEFT(AH37,1)="1",1,0)</f>
        <v>1</v>
      </c>
      <c r="AJ37" s="167">
        <f>IF((AH37=AF37)=TRUE,0,1)</f>
        <v>0</v>
      </c>
      <c r="AK37" s="520"/>
      <c r="AL37" s="638" t="s">
        <v>1384</v>
      </c>
      <c r="AM37" s="631">
        <v>1</v>
      </c>
      <c r="AN37" s="638" t="s">
        <v>1384</v>
      </c>
      <c r="AO37" s="631">
        <f>IF(LEFT(AN37,1)="1",1,0)</f>
        <v>1</v>
      </c>
      <c r="AP37" s="167">
        <f>IF((AN37=AL37)=TRUE,0,1)</f>
        <v>0</v>
      </c>
      <c r="AQ37" s="520"/>
      <c r="AR37" s="638" t="s">
        <v>1384</v>
      </c>
      <c r="AS37" s="631">
        <v>1</v>
      </c>
      <c r="AT37" s="638" t="s">
        <v>1384</v>
      </c>
      <c r="AU37" s="631">
        <f>IF(LEFT(AT37,1)="1",1,0)</f>
        <v>1</v>
      </c>
      <c r="AV37" s="167">
        <f>IF((AT37=AR37)=TRUE,0,1)</f>
        <v>0</v>
      </c>
      <c r="AW37" s="520"/>
      <c r="AX37" s="638" t="s">
        <v>1384</v>
      </c>
      <c r="AY37" s="631">
        <v>1</v>
      </c>
      <c r="AZ37" s="638" t="s">
        <v>1384</v>
      </c>
      <c r="BA37" s="631">
        <f>IF(LEFT(AZ37,1)="1",1,0)</f>
        <v>1</v>
      </c>
      <c r="BB37" s="167">
        <f>IF((AZ37=AX37)=TRUE,0,1)</f>
        <v>0</v>
      </c>
      <c r="BC37" s="520"/>
      <c r="BD37" s="638" t="s">
        <v>1384</v>
      </c>
      <c r="BE37" s="631">
        <v>1</v>
      </c>
      <c r="BF37" s="638" t="s">
        <v>1384</v>
      </c>
      <c r="BG37" s="631">
        <f>IF(LEFT(BF37,1)="1",1,0)</f>
        <v>1</v>
      </c>
      <c r="BH37" s="167">
        <f>IF((BF37=BD37)=TRUE,0,1)</f>
        <v>0</v>
      </c>
      <c r="BI37" s="520"/>
      <c r="BJ37" s="638" t="s">
        <v>1384</v>
      </c>
      <c r="BK37" s="631">
        <v>1</v>
      </c>
      <c r="BL37" s="638" t="s">
        <v>1384</v>
      </c>
      <c r="BM37" s="631">
        <f>IF(LEFT(BL37,1)="1",1,0)</f>
        <v>1</v>
      </c>
      <c r="BN37" s="167">
        <f>IF((BL37=BJ37)=TRUE,0,1)</f>
        <v>0</v>
      </c>
      <c r="BO37" s="520"/>
      <c r="BP37" s="638" t="s">
        <v>1384</v>
      </c>
      <c r="BQ37" s="631">
        <v>1</v>
      </c>
      <c r="BR37" s="638" t="s">
        <v>1384</v>
      </c>
      <c r="BS37" s="631">
        <f>IF(LEFT(BR37,1)="1",1,0)</f>
        <v>1</v>
      </c>
      <c r="BT37" s="167">
        <f>IF((BR37=BP37)=TRUE,0,1)</f>
        <v>0</v>
      </c>
      <c r="BU37" s="520"/>
      <c r="BV37" s="638" t="s">
        <v>1384</v>
      </c>
      <c r="BW37" s="631">
        <v>1</v>
      </c>
      <c r="BX37" s="638" t="s">
        <v>1384</v>
      </c>
      <c r="BY37" s="631">
        <f>IF(LEFT(BX37,1)="1",1,0)</f>
        <v>1</v>
      </c>
      <c r="BZ37" s="167">
        <f>IF((BX37=BV37)=TRUE,0,1)</f>
        <v>0</v>
      </c>
      <c r="CA37" s="18"/>
      <c r="CD37" s="582">
        <f t="shared" si="31"/>
        <v>1</v>
      </c>
      <c r="CE37" s="583">
        <v>1</v>
      </c>
      <c r="CF37" s="584">
        <f>M37</f>
        <v>1</v>
      </c>
      <c r="CG37" s="583">
        <v>1</v>
      </c>
      <c r="CH37" s="582">
        <f t="shared" si="32"/>
        <v>0</v>
      </c>
    </row>
    <row r="38" spans="1:86" s="2" customFormat="1">
      <c r="A38" s="1584" t="s">
        <v>2301</v>
      </c>
      <c r="B38" s="1587" t="s">
        <v>1385</v>
      </c>
      <c r="C38" s="13">
        <v>22</v>
      </c>
      <c r="D38" s="20" t="s">
        <v>1324</v>
      </c>
      <c r="E38" s="495" t="s">
        <v>1053</v>
      </c>
      <c r="F38" s="51"/>
      <c r="G38" s="1591" t="s">
        <v>489</v>
      </c>
      <c r="H38" s="1590" t="s">
        <v>1326</v>
      </c>
      <c r="I38" s="1592">
        <v>10</v>
      </c>
      <c r="J38" s="574">
        <f>AVERAGE(BV38,BP38,BJ38,BD38,AX38,AR38,AL38,AF38,Z38,T38)</f>
        <v>273846403.176</v>
      </c>
      <c r="K38" s="1593">
        <f>AVERAGE(BW38,BQ38,BK38,BE38,AY38,AS38,AM38,AG38,AA38,U38)</f>
        <v>10</v>
      </c>
      <c r="L38" s="574">
        <f>AVERAGE(BX38,BR38,BL38,BF38,AZ38,AT38,AN38,AH38,AB38,V38)</f>
        <v>297716781.79399997</v>
      </c>
      <c r="M38" s="1593">
        <f>AVERAGE(BY38,BS38,BM38,BG38,BA38,AU38,AO38,AI38,AC38,W38)</f>
        <v>10</v>
      </c>
      <c r="N38" s="1529">
        <f t="shared" si="15"/>
        <v>0</v>
      </c>
      <c r="O38" s="1616">
        <f>I38-M38</f>
        <v>0</v>
      </c>
      <c r="P38" s="510">
        <f t="shared" si="16"/>
        <v>0</v>
      </c>
      <c r="Q38" s="833">
        <f t="shared" si="17"/>
        <v>0</v>
      </c>
      <c r="R38" s="832">
        <f t="shared" si="18"/>
        <v>0</v>
      </c>
      <c r="S38" s="520"/>
      <c r="T38" s="572">
        <v>135959124.72</v>
      </c>
      <c r="U38" s="1583">
        <f>IF(T29+T30+T31=0,10,"行业水平评分")</f>
        <v>10</v>
      </c>
      <c r="V38" s="638">
        <v>150759849.93000001</v>
      </c>
      <c r="W38" s="1583">
        <f>IF(V29+V30+V31=0,10,"行业水平评分")</f>
        <v>10</v>
      </c>
      <c r="X38" s="167">
        <f>IF(AND(T38=0,V38&lt;&gt;0),1,IF(AND(T38=0,V38=0),0,V38/T38-1))</f>
        <v>0.10886158057049311</v>
      </c>
      <c r="Y38" s="520"/>
      <c r="Z38" s="572">
        <v>655879164.85000002</v>
      </c>
      <c r="AA38" s="1583">
        <f>IF(Z29+Z30+Z31=0,10,"行业水平评分")</f>
        <v>10</v>
      </c>
      <c r="AB38" s="638">
        <v>717814933.43999994</v>
      </c>
      <c r="AC38" s="1583">
        <f>IF(AB29+AB30+AB31=0,10,"行业水平评分")</f>
        <v>10</v>
      </c>
      <c r="AD38" s="167">
        <f>IF(AND(Z38=0,AB38&lt;&gt;0),1,IF(AND(Z38=0,AB38=0),0,AB38/Z38-1))</f>
        <v>9.4431675694660377E-2</v>
      </c>
      <c r="AE38" s="520"/>
      <c r="AF38" s="572">
        <v>443083589.52000004</v>
      </c>
      <c r="AG38" s="1583">
        <f>IF(AF29+AF30+AF31=0,10,"行业水平评分")</f>
        <v>10</v>
      </c>
      <c r="AH38" s="638">
        <v>480317907.71999997</v>
      </c>
      <c r="AI38" s="1583">
        <f>IF(AH29+AH30+AH31=0,10,"行业水平评分")</f>
        <v>10</v>
      </c>
      <c r="AJ38" s="167">
        <f>IF(AND(AF38=0,AH38&lt;&gt;0),1,IF(AND(AF38=0,AH38=0),0,AH38/AF38-1))</f>
        <v>8.4034523238237124E-2</v>
      </c>
      <c r="AK38" s="520"/>
      <c r="AL38" s="572">
        <v>141837535.61000001</v>
      </c>
      <c r="AM38" s="1583">
        <f>IF(AL29+AL30+AL31=0,10,"行业水平评分")</f>
        <v>10</v>
      </c>
      <c r="AN38" s="638">
        <v>167275700.56999999</v>
      </c>
      <c r="AO38" s="1583">
        <f>IF(AN29+AN30+AN31=0,10,"行业水平评分")</f>
        <v>10</v>
      </c>
      <c r="AP38" s="167">
        <f>IF(AND(AL38=0,AN38&lt;&gt;0),1,IF(AND(AL38=0,AN38=0),0,AN38/AL38-1))</f>
        <v>0.17934720065882548</v>
      </c>
      <c r="AQ38" s="520"/>
      <c r="AR38" s="572">
        <v>380168626.97000003</v>
      </c>
      <c r="AS38" s="1583">
        <f>IF(AR29+AR30+AR31=0,10,"行业水平评分")</f>
        <v>10</v>
      </c>
      <c r="AT38" s="638">
        <v>410195478.64000005</v>
      </c>
      <c r="AU38" s="1583">
        <f>IF(AT29+AT30+AT31=0,10,"行业水平评分")</f>
        <v>10</v>
      </c>
      <c r="AV38" s="167">
        <f>IF(AND(AR38=0,AT38&lt;&gt;0),1,IF(AND(AR38=0,AT38=0),0,AT38/AR38-1))</f>
        <v>7.8982981602975677E-2</v>
      </c>
      <c r="AW38" s="520"/>
      <c r="AX38" s="572">
        <v>406813233.17999989</v>
      </c>
      <c r="AY38" s="1583">
        <f>IF(AX29+AX30+AX31=0,10,"行业水平评分")</f>
        <v>10</v>
      </c>
      <c r="AZ38" s="638">
        <v>439731394.57999992</v>
      </c>
      <c r="BA38" s="1583">
        <f>IF(AZ29+AZ30+AZ31=0,10,"行业水平评分")</f>
        <v>10</v>
      </c>
      <c r="BB38" s="167">
        <f>IF(AND(AX38=0,AZ38&lt;&gt;0),1,IF(AND(AX38=0,AZ38=0),0,AZ38/AX38-1))</f>
        <v>8.0917135223659065E-2</v>
      </c>
      <c r="BC38" s="520"/>
      <c r="BD38" s="572">
        <v>86266136.519999996</v>
      </c>
      <c r="BE38" s="1583">
        <f>IF(BD29+BD30+BD31=0,10,"行业水平评分")</f>
        <v>10</v>
      </c>
      <c r="BF38" s="638">
        <v>89135757.319999993</v>
      </c>
      <c r="BG38" s="1583">
        <f>IF(BF29+BF30+BF31=0,10,"行业水平评分")</f>
        <v>10</v>
      </c>
      <c r="BH38" s="167">
        <f>IF(AND(BD38=0,BF38&lt;&gt;0),1,IF(AND(BD38=0,BF38=0),0,BF38/BD38-1))</f>
        <v>3.3264742293573235E-2</v>
      </c>
      <c r="BI38" s="520"/>
      <c r="BJ38" s="572">
        <v>302900686.05000001</v>
      </c>
      <c r="BK38" s="1583">
        <f>IF(BJ29+BJ30+BJ31=0,10,"行业水平评分")</f>
        <v>10</v>
      </c>
      <c r="BL38" s="638">
        <v>325747164.19999999</v>
      </c>
      <c r="BM38" s="1583">
        <f>IF(BL29+BL30+BL31=0,10,"行业水平评分")</f>
        <v>10</v>
      </c>
      <c r="BN38" s="167">
        <f>IF(AND(BJ38=0,BL38&lt;&gt;0),1,IF(AND(BJ38=0,BL38=0),0,BL38/BJ38-1))</f>
        <v>7.5425640159259011E-2</v>
      </c>
      <c r="BO38" s="520"/>
      <c r="BP38" s="572">
        <v>75715434.870000005</v>
      </c>
      <c r="BQ38" s="1583">
        <f>IF(BP29+BP30+BP31=0,10,"行业水平评分")</f>
        <v>10</v>
      </c>
      <c r="BR38" s="638">
        <v>79523892.569999993</v>
      </c>
      <c r="BS38" s="1583">
        <f>IF(BR29+BR30+BR31=0,10,"行业水平评分")</f>
        <v>10</v>
      </c>
      <c r="BT38" s="167">
        <f>IF(AND(BP38=0,BR38&lt;&gt;0),1,IF(AND(BP38=0,BR38=0),0,BR38/BP38-1))</f>
        <v>5.0299621293055319E-2</v>
      </c>
      <c r="BU38" s="520"/>
      <c r="BV38" s="572">
        <v>109840499.47</v>
      </c>
      <c r="BW38" s="1583">
        <f>IF(BV29+BV30+BV31=0,10,"行业水平评分")</f>
        <v>10</v>
      </c>
      <c r="BX38" s="638">
        <v>116665738.97000001</v>
      </c>
      <c r="BY38" s="1583">
        <f>IF(BX29+BX30+BX31=0,10,"行业水平评分")</f>
        <v>10</v>
      </c>
      <c r="BZ38" s="167">
        <f>IF(AND(BV38=0,BX38&lt;&gt;0),1,IF(AND(BV38=0,BX38=0),0,BX38/BV38-1))</f>
        <v>6.2137731828724396E-2</v>
      </c>
      <c r="CA38" s="18"/>
      <c r="CD38" s="582">
        <f t="shared" si="31"/>
        <v>10</v>
      </c>
      <c r="CE38" s="583">
        <v>1</v>
      </c>
      <c r="CF38" s="584">
        <f>M38</f>
        <v>10</v>
      </c>
      <c r="CG38" s="584">
        <v>0</v>
      </c>
      <c r="CH38" s="582">
        <f t="shared" si="32"/>
        <v>0</v>
      </c>
    </row>
    <row r="39" spans="1:86" s="2" customFormat="1">
      <c r="A39" s="1585"/>
      <c r="B39" s="1588"/>
      <c r="C39" s="13">
        <v>23</v>
      </c>
      <c r="D39" s="20" t="s">
        <v>1327</v>
      </c>
      <c r="E39" s="495" t="s">
        <v>1053</v>
      </c>
      <c r="F39" s="51"/>
      <c r="G39" s="1591"/>
      <c r="H39" s="1590"/>
      <c r="I39" s="1592"/>
      <c r="J39" s="574">
        <f>AVERAGE(BV39,BP39,BJ39,BD39,AX39,AR39,AL39,AF39,Z39,T39)</f>
        <v>14397557.574000001</v>
      </c>
      <c r="K39" s="1594"/>
      <c r="L39" s="574">
        <f>AVERAGE(BX39,BR39,BL39,BF39,AZ39,AT39,AN39,AH39,AB39,V39)</f>
        <v>14550880.921</v>
      </c>
      <c r="M39" s="1594"/>
      <c r="N39" s="1530"/>
      <c r="O39" s="1617"/>
      <c r="P39" s="510">
        <f t="shared" si="16"/>
        <v>0</v>
      </c>
      <c r="Q39" s="833">
        <f t="shared" si="17"/>
        <v>0</v>
      </c>
      <c r="R39" s="832">
        <f t="shared" si="18"/>
        <v>0</v>
      </c>
      <c r="S39" s="520"/>
      <c r="T39" s="572">
        <v>4940300</v>
      </c>
      <c r="U39" s="1583"/>
      <c r="V39" s="638">
        <v>5135200</v>
      </c>
      <c r="W39" s="1583"/>
      <c r="X39" s="167">
        <f>IF(AND(T39=0,V39&lt;&gt;0),1,IF(AND(T39=0,V39=0),0,V39/T39-1))</f>
        <v>3.9451045483067881E-2</v>
      </c>
      <c r="Y39" s="520"/>
      <c r="Z39" s="572">
        <v>26385577.34</v>
      </c>
      <c r="AA39" s="1583"/>
      <c r="AB39" s="638">
        <v>30100846.810000002</v>
      </c>
      <c r="AC39" s="1583"/>
      <c r="AD39" s="167">
        <f>IF(AND(Z39=0,AB39&lt;&gt;0),1,IF(AND(Z39=0,AB39=0),0,AB39/Z39-1))</f>
        <v>0.14080682875063455</v>
      </c>
      <c r="AE39" s="520"/>
      <c r="AF39" s="572">
        <v>33472800</v>
      </c>
      <c r="AG39" s="1583"/>
      <c r="AH39" s="638">
        <v>32649400</v>
      </c>
      <c r="AI39" s="1583"/>
      <c r="AJ39" s="167">
        <f>IF(AND(AF39=0,AH39&lt;&gt;0),1,IF(AND(AF39=0,AH39=0),0,AH39/AF39-1))</f>
        <v>-2.4599077459907748E-2</v>
      </c>
      <c r="AK39" s="520"/>
      <c r="AL39" s="572">
        <v>17000</v>
      </c>
      <c r="AM39" s="1583"/>
      <c r="AN39" s="638">
        <v>20000</v>
      </c>
      <c r="AO39" s="1583"/>
      <c r="AP39" s="167">
        <f>IF(AND(AL39=0,AN39&lt;&gt;0),1,IF(AND(AL39=0,AN39=0),0,AN39/AL39-1))</f>
        <v>0.17647058823529416</v>
      </c>
      <c r="AQ39" s="520"/>
      <c r="AR39" s="572">
        <v>47008605</v>
      </c>
      <c r="AS39" s="1583"/>
      <c r="AT39" s="638">
        <v>45303469</v>
      </c>
      <c r="AU39" s="1583"/>
      <c r="AV39" s="167">
        <f>IF(AND(AR39=0,AT39&lt;&gt;0),1,IF(AND(AR39=0,AT39=0),0,AT39/AR39-1))</f>
        <v>-3.6272848343404385E-2</v>
      </c>
      <c r="AW39" s="520"/>
      <c r="AX39" s="572">
        <v>15169800</v>
      </c>
      <c r="AY39" s="1583"/>
      <c r="AZ39" s="638">
        <v>14569700</v>
      </c>
      <c r="BA39" s="1583"/>
      <c r="BB39" s="167">
        <f>IF(AND(AX39=0,AZ39&lt;&gt;0),1,IF(AND(AX39=0,AZ39=0),0,AZ39/AX39-1))</f>
        <v>-3.9558860367308712E-2</v>
      </c>
      <c r="BC39" s="520"/>
      <c r="BD39" s="572">
        <v>8371330</v>
      </c>
      <c r="BE39" s="1583"/>
      <c r="BF39" s="638">
        <v>8202430</v>
      </c>
      <c r="BG39" s="1583"/>
      <c r="BH39" s="167">
        <f>IF(AND(BD39=0,BF39&lt;&gt;0),1,IF(AND(BD39=0,BF39=0),0,BF39/BD39-1))</f>
        <v>-2.0176005485388782E-2</v>
      </c>
      <c r="BI39" s="520"/>
      <c r="BJ39" s="572">
        <v>4531363.4000000004</v>
      </c>
      <c r="BK39" s="1583"/>
      <c r="BL39" s="638">
        <v>4586963.4000000004</v>
      </c>
      <c r="BM39" s="1583"/>
      <c r="BN39" s="167">
        <f>IF(AND(BJ39=0,BL39&lt;&gt;0),1,IF(AND(BJ39=0,BL39=0),0,BL39/BJ39-1))</f>
        <v>1.2270037755082619E-2</v>
      </c>
      <c r="BO39" s="520"/>
      <c r="BP39" s="572">
        <v>95400</v>
      </c>
      <c r="BQ39" s="1583"/>
      <c r="BR39" s="638">
        <v>87900</v>
      </c>
      <c r="BS39" s="1583"/>
      <c r="BT39" s="167">
        <f>IF(AND(BP39=0,BR39&lt;&gt;0),1,IF(AND(BP39=0,BR39=0),0,BR39/BP39-1))</f>
        <v>-7.8616352201257844E-2</v>
      </c>
      <c r="BU39" s="520"/>
      <c r="BV39" s="572">
        <v>3983400</v>
      </c>
      <c r="BW39" s="1583"/>
      <c r="BX39" s="638">
        <v>4852900</v>
      </c>
      <c r="BY39" s="1583"/>
      <c r="BZ39" s="167">
        <f>IF(AND(BV39=0,BX39&lt;&gt;0),1,IF(AND(BV39=0,BX39=0),0,BX39/BV39-1))</f>
        <v>0.21828086559220772</v>
      </c>
      <c r="CA39" s="18"/>
      <c r="CD39" s="585"/>
      <c r="CE39" s="584"/>
      <c r="CF39" s="584"/>
      <c r="CG39" s="585"/>
      <c r="CH39" s="585"/>
    </row>
    <row r="40" spans="1:86" s="2" customFormat="1">
      <c r="A40" s="1586"/>
      <c r="B40" s="1589"/>
      <c r="C40" s="13">
        <v>24</v>
      </c>
      <c r="D40" s="20" t="s">
        <v>1328</v>
      </c>
      <c r="E40" s="495" t="s">
        <v>1053</v>
      </c>
      <c r="F40" s="51"/>
      <c r="G40" s="1591"/>
      <c r="H40" s="1590"/>
      <c r="I40" s="1592"/>
      <c r="J40" s="574">
        <f>AVERAGE(BV40,BP40,BJ40,BD40,AX40,AR40,AL40,AF40,Z40,T40)</f>
        <v>843812.15</v>
      </c>
      <c r="K40" s="1595"/>
      <c r="L40" s="574">
        <f>AVERAGE(BX40,BR40,BL40,BF40,AZ40,AT40,AN40,AH40,AB40,V40)</f>
        <v>266054.41000000003</v>
      </c>
      <c r="M40" s="1595"/>
      <c r="N40" s="1531"/>
      <c r="O40" s="1618"/>
      <c r="P40" s="510">
        <f t="shared" si="16"/>
        <v>0</v>
      </c>
      <c r="Q40" s="833">
        <f t="shared" si="17"/>
        <v>0</v>
      </c>
      <c r="R40" s="832">
        <f t="shared" si="18"/>
        <v>0</v>
      </c>
      <c r="S40" s="520"/>
      <c r="T40" s="572">
        <v>0</v>
      </c>
      <c r="U40" s="1583"/>
      <c r="V40" s="638">
        <v>0</v>
      </c>
      <c r="W40" s="1583"/>
      <c r="X40" s="167">
        <f>IF(AND(T40=0,V40&lt;&gt;0),1,IF(AND(T40=0,V40=0),0,V40/T40-1))</f>
        <v>0</v>
      </c>
      <c r="Y40" s="520"/>
      <c r="Z40" s="572">
        <v>130569.9</v>
      </c>
      <c r="AA40" s="1583"/>
      <c r="AB40" s="638">
        <v>277945.40000000002</v>
      </c>
      <c r="AC40" s="1583"/>
      <c r="AD40" s="167">
        <f>IF(AND(Z40=0,AB40&lt;&gt;0),1,IF(AND(Z40=0,AB40=0),0,AB40/Z40-1))</f>
        <v>1.1287096030555284</v>
      </c>
      <c r="AE40" s="520"/>
      <c r="AF40" s="572">
        <v>866723</v>
      </c>
      <c r="AG40" s="1583"/>
      <c r="AH40" s="638">
        <v>770079.10000000009</v>
      </c>
      <c r="AI40" s="1583"/>
      <c r="AJ40" s="167">
        <f>IF(AND(AF40=0,AH40&lt;&gt;0),1,IF(AND(AF40=0,AH40=0),0,AH40/AF40-1))</f>
        <v>-0.11150494448630055</v>
      </c>
      <c r="AK40" s="520"/>
      <c r="AL40" s="572">
        <v>5912900</v>
      </c>
      <c r="AM40" s="1583"/>
      <c r="AN40" s="638">
        <v>12900</v>
      </c>
      <c r="AO40" s="1583"/>
      <c r="AP40" s="167">
        <f>IF(AND(AL40=0,AN40&lt;&gt;0),1,IF(AND(AL40=0,AN40=0),0,AN40/AL40-1))</f>
        <v>-0.99781832941534609</v>
      </c>
      <c r="AQ40" s="520"/>
      <c r="AR40" s="572">
        <v>1033962.3</v>
      </c>
      <c r="AS40" s="1583"/>
      <c r="AT40" s="638">
        <v>939089.6</v>
      </c>
      <c r="AU40" s="1583"/>
      <c r="AV40" s="167">
        <f>IF(AND(AR40=0,AT40&lt;&gt;0),1,IF(AND(AR40=0,AT40=0),0,AT40/AR40-1))</f>
        <v>-9.1756440249320614E-2</v>
      </c>
      <c r="AW40" s="520"/>
      <c r="AX40" s="572">
        <v>203695.5</v>
      </c>
      <c r="AY40" s="1583"/>
      <c r="AZ40" s="638">
        <v>224088.5</v>
      </c>
      <c r="BA40" s="1583"/>
      <c r="BB40" s="167">
        <f>IF(AND(AX40=0,AZ40&lt;&gt;0),1,IF(AND(AX40=0,AZ40=0),0,AZ40/AX40-1))</f>
        <v>0.10011512281812807</v>
      </c>
      <c r="BC40" s="520"/>
      <c r="BD40" s="572">
        <v>1006</v>
      </c>
      <c r="BE40" s="1583"/>
      <c r="BF40" s="638">
        <v>1006</v>
      </c>
      <c r="BG40" s="1583"/>
      <c r="BH40" s="167">
        <f>IF(AND(BD40=0,BF40&lt;&gt;0),1,IF(AND(BD40=0,BF40=0),0,BF40/BD40-1))</f>
        <v>0</v>
      </c>
      <c r="BI40" s="520"/>
      <c r="BJ40" s="572">
        <v>89656.1</v>
      </c>
      <c r="BK40" s="1583"/>
      <c r="BL40" s="638">
        <v>141159.5</v>
      </c>
      <c r="BM40" s="1583"/>
      <c r="BN40" s="167">
        <f>IF(AND(BJ40=0,BL40&lt;&gt;0),1,IF(AND(BJ40=0,BL40=0),0,BL40/BJ40-1))</f>
        <v>0.57445505659960672</v>
      </c>
      <c r="BO40" s="520"/>
      <c r="BP40" s="572">
        <v>197596.7</v>
      </c>
      <c r="BQ40" s="1583"/>
      <c r="BR40" s="638">
        <v>292264</v>
      </c>
      <c r="BS40" s="1583"/>
      <c r="BT40" s="167">
        <f>IF(AND(BP40=0,BR40&lt;&gt;0),1,IF(AND(BP40=0,BR40=0),0,BR40/BP40-1))</f>
        <v>0.47909352737166144</v>
      </c>
      <c r="BU40" s="520"/>
      <c r="BV40" s="572">
        <v>2012</v>
      </c>
      <c r="BW40" s="1583"/>
      <c r="BX40" s="638">
        <v>2012</v>
      </c>
      <c r="BY40" s="1583"/>
      <c r="BZ40" s="167">
        <f>IF(AND(BV40=0,BX40&lt;&gt;0),1,IF(AND(BV40=0,BX40=0),0,BX40/BV40-1))</f>
        <v>0</v>
      </c>
      <c r="CA40" s="18"/>
      <c r="CD40" s="585"/>
      <c r="CE40" s="585"/>
      <c r="CF40" s="584"/>
      <c r="CG40" s="585"/>
      <c r="CH40" s="585"/>
    </row>
    <row r="41" spans="1:86" s="267" customFormat="1" ht="15">
      <c r="A41" s="264"/>
      <c r="B41" s="287"/>
      <c r="C41" s="554"/>
      <c r="D41" s="556" t="s">
        <v>280</v>
      </c>
      <c r="E41" s="555"/>
      <c r="F41" s="266"/>
      <c r="G41" s="266"/>
      <c r="H41" s="265"/>
      <c r="I41" s="568">
        <v>90</v>
      </c>
      <c r="J41" s="265"/>
      <c r="K41" s="433"/>
      <c r="L41" s="265"/>
      <c r="M41" s="900">
        <f>SUM(M4:M40)</f>
        <v>81.2</v>
      </c>
      <c r="N41" s="718"/>
      <c r="O41" s="603">
        <f>SUM(O4:O40)</f>
        <v>8.8000000000000007</v>
      </c>
      <c r="P41" s="846">
        <f t="shared" si="16"/>
        <v>6.16</v>
      </c>
      <c r="Q41" s="847">
        <f t="shared" si="17"/>
        <v>0.68444444444444441</v>
      </c>
      <c r="R41" s="848">
        <f t="shared" si="18"/>
        <v>0.34222222222222221</v>
      </c>
      <c r="S41" s="520"/>
      <c r="T41" s="676"/>
      <c r="U41" s="266">
        <f>SUM(U4:U40)</f>
        <v>82</v>
      </c>
      <c r="V41" s="265"/>
      <c r="W41" s="266">
        <f>SUM(W4:W40)</f>
        <v>82</v>
      </c>
      <c r="X41" s="266"/>
      <c r="Y41" s="520"/>
      <c r="Z41" s="676"/>
      <c r="AA41" s="266">
        <f>SUM(AA4:AA40)</f>
        <v>82</v>
      </c>
      <c r="AB41" s="265"/>
      <c r="AC41" s="266">
        <f>SUM(AC4:AC40)</f>
        <v>82</v>
      </c>
      <c r="AD41" s="266"/>
      <c r="AE41" s="520"/>
      <c r="AF41" s="676"/>
      <c r="AG41" s="266">
        <f>SUM(AG4:AG40)</f>
        <v>82</v>
      </c>
      <c r="AH41" s="676"/>
      <c r="AI41" s="266">
        <f>SUM(AI4:AI40)</f>
        <v>82</v>
      </c>
      <c r="AJ41" s="266"/>
      <c r="AK41" s="520"/>
      <c r="AL41" s="676"/>
      <c r="AM41" s="266">
        <f>SUM(AM4:AM40)</f>
        <v>82</v>
      </c>
      <c r="AN41" s="676"/>
      <c r="AO41" s="266">
        <f>SUM(AO4:AO40)</f>
        <v>82</v>
      </c>
      <c r="AP41" s="266"/>
      <c r="AQ41" s="520"/>
      <c r="AR41" s="676"/>
      <c r="AS41" s="266">
        <f>SUM(AS4:AS40)</f>
        <v>82</v>
      </c>
      <c r="AT41" s="676"/>
      <c r="AU41" s="266">
        <f>SUM(AU4:AU40)</f>
        <v>82</v>
      </c>
      <c r="AV41" s="266"/>
      <c r="AW41" s="520"/>
      <c r="AX41" s="676"/>
      <c r="AY41" s="266">
        <f>SUM(AY4:AY40)</f>
        <v>82</v>
      </c>
      <c r="AZ41" s="676"/>
      <c r="BA41" s="266">
        <f>SUM(BA4:BA40)</f>
        <v>82</v>
      </c>
      <c r="BB41" s="266"/>
      <c r="BC41" s="520"/>
      <c r="BD41" s="676"/>
      <c r="BE41" s="266">
        <f>SUM(BE4:BE40)</f>
        <v>77</v>
      </c>
      <c r="BF41" s="676"/>
      <c r="BG41" s="266">
        <f>SUM(BG4:BG40)</f>
        <v>77</v>
      </c>
      <c r="BH41" s="266"/>
      <c r="BI41" s="520"/>
      <c r="BJ41" s="676"/>
      <c r="BK41" s="266">
        <f>SUM(BK4:BK40)</f>
        <v>82</v>
      </c>
      <c r="BL41" s="676"/>
      <c r="BM41" s="266">
        <f>SUM(BM4:BM40)</f>
        <v>82</v>
      </c>
      <c r="BN41" s="266"/>
      <c r="BO41" s="520"/>
      <c r="BP41" s="676"/>
      <c r="BQ41" s="266">
        <f>SUM(BQ4:BQ40)</f>
        <v>79</v>
      </c>
      <c r="BR41" s="676"/>
      <c r="BS41" s="266">
        <f>SUM(BS4:BS40)</f>
        <v>79</v>
      </c>
      <c r="BT41" s="266"/>
      <c r="BU41" s="520"/>
      <c r="BV41" s="676"/>
      <c r="BW41" s="266">
        <f>SUM(BW4:BW40)</f>
        <v>82</v>
      </c>
      <c r="BX41" s="676"/>
      <c r="BY41" s="266">
        <f>SUM(BY4:BY40)</f>
        <v>82</v>
      </c>
      <c r="BZ41" s="266"/>
      <c r="CA41" s="277"/>
      <c r="CD41" s="424"/>
      <c r="CE41" s="424"/>
      <c r="CF41" s="424"/>
      <c r="CG41" s="424"/>
      <c r="CH41" s="424"/>
    </row>
    <row r="42" spans="1:86" s="18" customFormat="1" ht="15" customHeight="1">
      <c r="A42" s="24"/>
      <c r="B42" s="24"/>
      <c r="C42" s="278"/>
      <c r="D42" s="564" t="s">
        <v>1820</v>
      </c>
      <c r="E42" s="24"/>
      <c r="F42" s="83"/>
      <c r="G42" s="83"/>
      <c r="H42" s="7" t="s">
        <v>1329</v>
      </c>
      <c r="I42" s="503">
        <v>72</v>
      </c>
      <c r="J42" s="94"/>
      <c r="K42" s="94"/>
      <c r="L42" s="94"/>
      <c r="M42" s="560">
        <f>SUM(M4:M15)+SUM(M19:M37)</f>
        <v>71.2</v>
      </c>
      <c r="N42" s="702"/>
      <c r="O42" s="603">
        <f>SUM(O4:O15)+SUM(O17:O37)</f>
        <v>0.79999999999999982</v>
      </c>
      <c r="P42" s="846">
        <f t="shared" si="16"/>
        <v>0.55999999999999983</v>
      </c>
      <c r="Q42" s="847">
        <f t="shared" si="17"/>
        <v>6.2222222222222207E-2</v>
      </c>
      <c r="R42" s="848">
        <f t="shared" si="18"/>
        <v>3.1111111111111103E-2</v>
      </c>
      <c r="S42" s="1074" t="s">
        <v>1821</v>
      </c>
      <c r="U42" s="269"/>
      <c r="W42" s="269"/>
      <c r="X42" s="269"/>
      <c r="Y42" s="269"/>
      <c r="AA42" s="269"/>
      <c r="AC42" s="269"/>
      <c r="AD42" s="269"/>
      <c r="AE42" s="269"/>
      <c r="AG42" s="269"/>
      <c r="AI42" s="269"/>
      <c r="AJ42" s="269"/>
      <c r="AK42" s="269"/>
      <c r="AM42" s="269"/>
      <c r="AO42" s="269"/>
      <c r="AP42" s="269"/>
      <c r="AQ42" s="269"/>
      <c r="AS42" s="269"/>
      <c r="AU42" s="269"/>
      <c r="AV42" s="269"/>
      <c r="AW42" s="269"/>
      <c r="AY42" s="269"/>
      <c r="BA42" s="269"/>
      <c r="BB42" s="269"/>
      <c r="BC42" s="269"/>
      <c r="BE42" s="269"/>
      <c r="BG42" s="269"/>
      <c r="BH42" s="269"/>
      <c r="BI42" s="269"/>
      <c r="BK42" s="269"/>
      <c r="BM42" s="269"/>
      <c r="BN42" s="269"/>
      <c r="BO42" s="269"/>
      <c r="BQ42" s="269"/>
      <c r="BS42" s="269"/>
      <c r="BT42" s="269"/>
      <c r="BU42" s="269"/>
      <c r="BW42" s="269"/>
      <c r="BY42" s="269"/>
      <c r="BZ42" s="269"/>
      <c r="CD42" s="422"/>
      <c r="CE42" s="422"/>
      <c r="CF42" s="422"/>
      <c r="CG42" s="422"/>
      <c r="CH42" s="422"/>
    </row>
    <row r="43" spans="1:86" s="18" customFormat="1" ht="14.25">
      <c r="A43" s="24"/>
      <c r="B43" s="24"/>
      <c r="C43" s="278"/>
      <c r="D43" s="564" t="s">
        <v>1819</v>
      </c>
      <c r="E43" s="24"/>
      <c r="F43" s="83"/>
      <c r="G43" s="83"/>
      <c r="H43" s="7" t="s">
        <v>1326</v>
      </c>
      <c r="I43" s="503">
        <v>18</v>
      </c>
      <c r="J43" s="94"/>
      <c r="K43" s="94"/>
      <c r="L43" s="94"/>
      <c r="M43" s="885"/>
      <c r="N43" s="702"/>
      <c r="O43" s="603"/>
      <c r="P43" s="846"/>
      <c r="Q43" s="847"/>
      <c r="R43" s="1073"/>
      <c r="S43" s="1075"/>
      <c r="CD43" s="422"/>
      <c r="CE43" s="422"/>
      <c r="CF43" s="422"/>
      <c r="CG43" s="422"/>
      <c r="CH43" s="422"/>
    </row>
    <row r="44" spans="1:86" s="18" customFormat="1" ht="14.25">
      <c r="A44" s="271"/>
      <c r="B44" s="271"/>
      <c r="C44" s="278"/>
      <c r="D44" s="565" t="s">
        <v>1330</v>
      </c>
      <c r="E44" s="271"/>
      <c r="F44" s="272"/>
      <c r="G44" s="272"/>
      <c r="H44" s="270"/>
      <c r="I44" s="279"/>
      <c r="J44" s="279"/>
      <c r="K44" s="578"/>
      <c r="L44" s="279"/>
      <c r="M44" s="578"/>
      <c r="N44" s="279"/>
      <c r="O44" s="581">
        <f>AVERAGE(W44,AC44,AI44,AO44,AU44,BA44,BG44,BM44,BS44,BY44)</f>
        <v>81.2</v>
      </c>
      <c r="P44" s="842"/>
      <c r="Q44" s="843"/>
      <c r="R44" s="844"/>
      <c r="S44" s="561"/>
      <c r="T44" s="520"/>
      <c r="U44" s="562">
        <f>SUBTOTAL(9,U4:U40)</f>
        <v>82</v>
      </c>
      <c r="V44" s="520"/>
      <c r="W44" s="562">
        <f>SUBTOTAL(9,W4:W40)</f>
        <v>82</v>
      </c>
      <c r="X44" s="520"/>
      <c r="Y44" s="520"/>
      <c r="Z44" s="520"/>
      <c r="AA44" s="562">
        <f>SUBTOTAL(9,AA4:AA40)</f>
        <v>82</v>
      </c>
      <c r="AB44" s="520"/>
      <c r="AC44" s="562">
        <f>SUBTOTAL(9,AC4:AC40)</f>
        <v>82</v>
      </c>
      <c r="AD44" s="520"/>
      <c r="AE44" s="520"/>
      <c r="AF44" s="520"/>
      <c r="AG44" s="562">
        <f>SUBTOTAL(9,AG4:AG40)</f>
        <v>82</v>
      </c>
      <c r="AH44" s="520"/>
      <c r="AI44" s="562">
        <f>SUBTOTAL(9,AI4:AI40)</f>
        <v>82</v>
      </c>
      <c r="AJ44" s="520"/>
      <c r="AK44" s="520"/>
      <c r="AL44" s="520"/>
      <c r="AM44" s="562">
        <f>SUBTOTAL(9,AM4:AM40)</f>
        <v>82</v>
      </c>
      <c r="AN44" s="520"/>
      <c r="AO44" s="562">
        <f>SUBTOTAL(9,AO4:AO40)</f>
        <v>82</v>
      </c>
      <c r="AP44" s="520"/>
      <c r="AQ44" s="520"/>
      <c r="AR44" s="520"/>
      <c r="AS44" s="562">
        <f>SUBTOTAL(9,AS4:AS40)</f>
        <v>82</v>
      </c>
      <c r="AT44" s="520"/>
      <c r="AU44" s="562">
        <f>SUBTOTAL(9,AU4:AU40)</f>
        <v>82</v>
      </c>
      <c r="AV44" s="520"/>
      <c r="AW44" s="520"/>
      <c r="AX44" s="520"/>
      <c r="AY44" s="562">
        <f>SUBTOTAL(9,AY4:AY40)</f>
        <v>82</v>
      </c>
      <c r="AZ44" s="520"/>
      <c r="BA44" s="562">
        <f>SUBTOTAL(9,BA4:BA40)</f>
        <v>82</v>
      </c>
      <c r="BB44" s="520"/>
      <c r="BC44" s="520"/>
      <c r="BD44" s="520"/>
      <c r="BE44" s="562">
        <f>SUBTOTAL(9,BE4:BE40)</f>
        <v>77</v>
      </c>
      <c r="BF44" s="520"/>
      <c r="BG44" s="562">
        <f>SUBTOTAL(9,BG4:BG40)</f>
        <v>77</v>
      </c>
      <c r="BH44" s="520"/>
      <c r="BI44" s="520"/>
      <c r="BJ44" s="520"/>
      <c r="BK44" s="562">
        <f>SUBTOTAL(9,BK4:BK40)</f>
        <v>82</v>
      </c>
      <c r="BL44" s="520"/>
      <c r="BM44" s="562">
        <f>SUBTOTAL(9,BM4:BM40)</f>
        <v>82</v>
      </c>
      <c r="BN44" s="520"/>
      <c r="BO44" s="520"/>
      <c r="BP44" s="520"/>
      <c r="BQ44" s="562">
        <f>SUBTOTAL(9,BQ4:BQ40)</f>
        <v>79</v>
      </c>
      <c r="BR44" s="520"/>
      <c r="BS44" s="562">
        <f>SUBTOTAL(9,BS4:BS40)</f>
        <v>79</v>
      </c>
      <c r="BT44" s="520"/>
      <c r="BU44" s="520"/>
      <c r="BV44" s="520"/>
      <c r="BW44" s="562">
        <f>SUBTOTAL(9,BW4:BW40)</f>
        <v>82</v>
      </c>
      <c r="BX44" s="520"/>
      <c r="BY44" s="562">
        <f>SUBTOTAL(9,BY4:BY40)</f>
        <v>82</v>
      </c>
      <c r="BZ44" s="520"/>
      <c r="CD44" s="422"/>
      <c r="CE44" s="422"/>
      <c r="CF44" s="422"/>
      <c r="CG44" s="422"/>
      <c r="CH44" s="422"/>
    </row>
    <row r="45" spans="1:86" s="18" customFormat="1" ht="14.25">
      <c r="A45" s="26"/>
      <c r="B45" s="26"/>
      <c r="C45" s="278"/>
      <c r="D45" s="566" t="s">
        <v>1817</v>
      </c>
      <c r="E45" s="550"/>
      <c r="F45" s="551"/>
      <c r="G45" s="83"/>
      <c r="H45" s="268"/>
      <c r="I45" s="26"/>
      <c r="J45" s="26"/>
      <c r="K45" s="83"/>
      <c r="L45" s="26"/>
      <c r="M45" s="83"/>
      <c r="N45" s="26"/>
      <c r="O45" s="581">
        <f t="shared" ref="O45:O49" si="33">AVERAGE(W45,AC45,AI45,AO45,AU45,BA45,BG45,BM45,BS45,BY45)</f>
        <v>71.2</v>
      </c>
      <c r="P45" s="842"/>
      <c r="Q45" s="843"/>
      <c r="R45" s="844"/>
      <c r="S45" s="561"/>
      <c r="T45" s="520"/>
      <c r="U45" s="276">
        <f>U44-U46</f>
        <v>72</v>
      </c>
      <c r="V45" s="520"/>
      <c r="W45" s="276">
        <f>W44-W46</f>
        <v>72</v>
      </c>
      <c r="X45" s="520"/>
      <c r="Y45" s="520"/>
      <c r="Z45" s="520"/>
      <c r="AA45" s="276">
        <f>AA44-AA46</f>
        <v>72</v>
      </c>
      <c r="AB45" s="520"/>
      <c r="AC45" s="276">
        <f>AC44-AC46</f>
        <v>72</v>
      </c>
      <c r="AD45" s="520"/>
      <c r="AE45" s="520"/>
      <c r="AF45" s="520"/>
      <c r="AG45" s="276">
        <f>AG44-AG46</f>
        <v>72</v>
      </c>
      <c r="AH45" s="520"/>
      <c r="AI45" s="276">
        <f>AI44-AI46</f>
        <v>72</v>
      </c>
      <c r="AJ45" s="520"/>
      <c r="AK45" s="520"/>
      <c r="AL45" s="520"/>
      <c r="AM45" s="276">
        <f>AM44-AM46</f>
        <v>72</v>
      </c>
      <c r="AN45" s="520"/>
      <c r="AO45" s="276">
        <f>AO44-AO46</f>
        <v>72</v>
      </c>
      <c r="AP45" s="520"/>
      <c r="AQ45" s="520"/>
      <c r="AR45" s="520"/>
      <c r="AS45" s="276">
        <f>AS44-AS46</f>
        <v>72</v>
      </c>
      <c r="AT45" s="520"/>
      <c r="AU45" s="276">
        <f>AU44-AU46</f>
        <v>72</v>
      </c>
      <c r="AV45" s="520"/>
      <c r="AW45" s="520"/>
      <c r="AX45" s="520"/>
      <c r="AY45" s="276">
        <f>AY44-AY46</f>
        <v>72</v>
      </c>
      <c r="AZ45" s="520"/>
      <c r="BA45" s="276">
        <f>BA44-BA46</f>
        <v>72</v>
      </c>
      <c r="BB45" s="520"/>
      <c r="BC45" s="520"/>
      <c r="BD45" s="520"/>
      <c r="BE45" s="276">
        <f>BE44-BE46</f>
        <v>67</v>
      </c>
      <c r="BF45" s="520"/>
      <c r="BG45" s="276">
        <f>BG44-BG46</f>
        <v>67</v>
      </c>
      <c r="BH45" s="520"/>
      <c r="BI45" s="520"/>
      <c r="BJ45" s="520"/>
      <c r="BK45" s="276">
        <f>BK44-BK46</f>
        <v>72</v>
      </c>
      <c r="BL45" s="520"/>
      <c r="BM45" s="276">
        <f>BM44-BM46</f>
        <v>72</v>
      </c>
      <c r="BN45" s="520"/>
      <c r="BO45" s="520"/>
      <c r="BP45" s="520"/>
      <c r="BQ45" s="276">
        <f>BQ44-BQ46</f>
        <v>69</v>
      </c>
      <c r="BR45" s="520"/>
      <c r="BS45" s="276">
        <f>BS44-BS46</f>
        <v>69</v>
      </c>
      <c r="BT45" s="520"/>
      <c r="BU45" s="520"/>
      <c r="BV45" s="520"/>
      <c r="BW45" s="276">
        <f>BW44-BW46</f>
        <v>72</v>
      </c>
      <c r="BX45" s="520"/>
      <c r="BY45" s="276">
        <f>BY44-BY46</f>
        <v>72</v>
      </c>
      <c r="BZ45" s="520"/>
      <c r="CD45" s="422"/>
      <c r="CE45" s="422"/>
      <c r="CF45" s="422"/>
      <c r="CG45" s="422"/>
      <c r="CH45" s="422"/>
    </row>
    <row r="46" spans="1:86" s="18" customFormat="1" ht="14.25">
      <c r="A46" s="26"/>
      <c r="B46" s="26"/>
      <c r="C46" s="278"/>
      <c r="D46" s="566" t="s">
        <v>1818</v>
      </c>
      <c r="E46" s="550"/>
      <c r="F46" s="551"/>
      <c r="G46" s="83"/>
      <c r="H46" s="268"/>
      <c r="I46" s="26"/>
      <c r="J46" s="26"/>
      <c r="K46" s="83"/>
      <c r="L46" s="26"/>
      <c r="M46" s="83"/>
      <c r="N46" s="26"/>
      <c r="O46" s="849">
        <f t="shared" si="33"/>
        <v>10</v>
      </c>
      <c r="P46" s="846">
        <f t="shared" si="16"/>
        <v>7</v>
      </c>
      <c r="Q46" s="847">
        <f t="shared" si="17"/>
        <v>0.77777777777777779</v>
      </c>
      <c r="R46" s="848">
        <f t="shared" si="18"/>
        <v>0.3888888888888889</v>
      </c>
      <c r="S46" s="561"/>
      <c r="T46" s="520"/>
      <c r="U46" s="552">
        <f>IF(T29+T31=0,10,0)</f>
        <v>10</v>
      </c>
      <c r="V46" s="520"/>
      <c r="W46" s="552">
        <f>IF(V29+V31=0,10,0)</f>
        <v>10</v>
      </c>
      <c r="X46" s="520"/>
      <c r="Y46" s="520"/>
      <c r="Z46" s="520"/>
      <c r="AA46" s="552">
        <f>IF(Z29+Z31=0,10,0)</f>
        <v>10</v>
      </c>
      <c r="AB46" s="520"/>
      <c r="AC46" s="552">
        <f>IF(AB29+AB31=0,10,0)</f>
        <v>10</v>
      </c>
      <c r="AD46" s="520"/>
      <c r="AE46" s="520"/>
      <c r="AF46" s="520"/>
      <c r="AG46" s="552">
        <f>IF(AF29+AF31=0,10,0)</f>
        <v>10</v>
      </c>
      <c r="AH46" s="520"/>
      <c r="AI46" s="552">
        <f>IF(AH29+AH31=0,10,0)</f>
        <v>10</v>
      </c>
      <c r="AJ46" s="520"/>
      <c r="AK46" s="520"/>
      <c r="AL46" s="520"/>
      <c r="AM46" s="552">
        <f>IF(AL29+AL31=0,10,0)</f>
        <v>10</v>
      </c>
      <c r="AN46" s="520"/>
      <c r="AO46" s="552">
        <f>IF(AN29+AN31=0,10,0)</f>
        <v>10</v>
      </c>
      <c r="AP46" s="520"/>
      <c r="AQ46" s="520"/>
      <c r="AR46" s="520"/>
      <c r="AS46" s="552">
        <f>IF(AR29+AR31=0,10,0)</f>
        <v>10</v>
      </c>
      <c r="AT46" s="520"/>
      <c r="AU46" s="552">
        <f>IF(AT29+AT31=0,10,0)</f>
        <v>10</v>
      </c>
      <c r="AV46" s="520"/>
      <c r="AW46" s="520"/>
      <c r="AX46" s="520"/>
      <c r="AY46" s="552">
        <f>IF(AX29+AX31=0,10,0)</f>
        <v>10</v>
      </c>
      <c r="AZ46" s="520"/>
      <c r="BA46" s="552">
        <f>IF(AZ29+AZ31=0,10,0)</f>
        <v>10</v>
      </c>
      <c r="BB46" s="520"/>
      <c r="BC46" s="520"/>
      <c r="BD46" s="520"/>
      <c r="BE46" s="552">
        <f>IF(BD29+BD31=0,10,0)</f>
        <v>10</v>
      </c>
      <c r="BF46" s="520"/>
      <c r="BG46" s="552">
        <f>IF(BF29+BF31=0,10,0)</f>
        <v>10</v>
      </c>
      <c r="BH46" s="520"/>
      <c r="BI46" s="520"/>
      <c r="BJ46" s="520"/>
      <c r="BK46" s="552">
        <f>IF(BJ29+BJ31=0,10,0)</f>
        <v>10</v>
      </c>
      <c r="BL46" s="520"/>
      <c r="BM46" s="552">
        <f>IF(BL29+BL31=0,10,0)</f>
        <v>10</v>
      </c>
      <c r="BN46" s="520"/>
      <c r="BO46" s="520"/>
      <c r="BP46" s="520"/>
      <c r="BQ46" s="552">
        <f>IF(BP29+BP31=0,10,0)</f>
        <v>10</v>
      </c>
      <c r="BR46" s="520"/>
      <c r="BS46" s="552">
        <f>IF(BR29+BR31=0,10,0)</f>
        <v>10</v>
      </c>
      <c r="BT46" s="520"/>
      <c r="BU46" s="520"/>
      <c r="BV46" s="520"/>
      <c r="BW46" s="552">
        <f>IF(BV29+BV31=0,10,0)</f>
        <v>10</v>
      </c>
      <c r="BX46" s="520"/>
      <c r="BY46" s="552">
        <f>IF(BX29+BX31=0,10,0)</f>
        <v>10</v>
      </c>
      <c r="BZ46" s="520"/>
      <c r="CD46" s="422"/>
      <c r="CE46" s="422"/>
      <c r="CF46" s="422"/>
      <c r="CG46" s="422"/>
      <c r="CH46" s="422"/>
    </row>
    <row r="47" spans="1:86" s="18" customFormat="1" ht="14.25">
      <c r="A47" s="26"/>
      <c r="B47" s="26"/>
      <c r="C47" s="278"/>
      <c r="D47" s="564" t="s">
        <v>552</v>
      </c>
      <c r="E47" s="550"/>
      <c r="F47" s="551"/>
      <c r="G47" s="83"/>
      <c r="H47" s="268"/>
      <c r="I47" s="26"/>
      <c r="J47" s="26"/>
      <c r="K47" s="83"/>
      <c r="L47" s="26"/>
      <c r="M47" s="83"/>
      <c r="N47" s="26"/>
      <c r="O47" s="849">
        <f t="shared" si="33"/>
        <v>8</v>
      </c>
      <c r="P47" s="846">
        <f t="shared" si="16"/>
        <v>5.6</v>
      </c>
      <c r="Q47" s="847">
        <f t="shared" si="17"/>
        <v>0.62222222222222223</v>
      </c>
      <c r="R47" s="848">
        <f t="shared" si="18"/>
        <v>0.31111111111111112</v>
      </c>
      <c r="S47" s="561"/>
      <c r="T47" s="520"/>
      <c r="U47" s="276">
        <f>18-U46</f>
        <v>8</v>
      </c>
      <c r="V47" s="520"/>
      <c r="W47" s="276">
        <f>18-W46</f>
        <v>8</v>
      </c>
      <c r="X47" s="520"/>
      <c r="Y47" s="520"/>
      <c r="Z47" s="520"/>
      <c r="AA47" s="276">
        <f>18-AA46</f>
        <v>8</v>
      </c>
      <c r="AB47" s="520"/>
      <c r="AC47" s="276">
        <f>18-AC46</f>
        <v>8</v>
      </c>
      <c r="AD47" s="520"/>
      <c r="AE47" s="520"/>
      <c r="AF47" s="520"/>
      <c r="AG47" s="276">
        <f>18-AG46</f>
        <v>8</v>
      </c>
      <c r="AH47" s="520"/>
      <c r="AI47" s="276">
        <f>18-AI46</f>
        <v>8</v>
      </c>
      <c r="AJ47" s="520"/>
      <c r="AK47" s="520"/>
      <c r="AL47" s="520"/>
      <c r="AM47" s="276">
        <f>18-AM46</f>
        <v>8</v>
      </c>
      <c r="AN47" s="520"/>
      <c r="AO47" s="276">
        <f>18-AO46</f>
        <v>8</v>
      </c>
      <c r="AP47" s="520"/>
      <c r="AQ47" s="520"/>
      <c r="AR47" s="520"/>
      <c r="AS47" s="276">
        <f>18-AS46</f>
        <v>8</v>
      </c>
      <c r="AT47" s="520"/>
      <c r="AU47" s="276">
        <f>18-AU46</f>
        <v>8</v>
      </c>
      <c r="AV47" s="520"/>
      <c r="AW47" s="520"/>
      <c r="AX47" s="520"/>
      <c r="AY47" s="276">
        <f>18-AY46</f>
        <v>8</v>
      </c>
      <c r="AZ47" s="520"/>
      <c r="BA47" s="276">
        <f>18-BA46</f>
        <v>8</v>
      </c>
      <c r="BB47" s="520"/>
      <c r="BC47" s="520"/>
      <c r="BD47" s="520"/>
      <c r="BE47" s="276">
        <f>18-BE46</f>
        <v>8</v>
      </c>
      <c r="BF47" s="520"/>
      <c r="BG47" s="276">
        <f>18-BG46</f>
        <v>8</v>
      </c>
      <c r="BH47" s="520"/>
      <c r="BI47" s="520"/>
      <c r="BJ47" s="520"/>
      <c r="BK47" s="276">
        <f>18-BK46</f>
        <v>8</v>
      </c>
      <c r="BL47" s="520"/>
      <c r="BM47" s="276">
        <f>18-BM46</f>
        <v>8</v>
      </c>
      <c r="BN47" s="520"/>
      <c r="BO47" s="520"/>
      <c r="BP47" s="520"/>
      <c r="BQ47" s="276">
        <f>18-BQ46</f>
        <v>8</v>
      </c>
      <c r="BR47" s="520"/>
      <c r="BS47" s="276">
        <f>18-BS46</f>
        <v>8</v>
      </c>
      <c r="BT47" s="520"/>
      <c r="BU47" s="520"/>
      <c r="BV47" s="520"/>
      <c r="BW47" s="276">
        <f>18-BW46</f>
        <v>8</v>
      </c>
      <c r="BX47" s="520"/>
      <c r="BY47" s="276">
        <f>18-BY46</f>
        <v>8</v>
      </c>
      <c r="BZ47" s="520"/>
      <c r="CD47" s="422"/>
      <c r="CE47" s="422"/>
      <c r="CF47" s="422"/>
      <c r="CG47" s="422"/>
      <c r="CH47" s="422"/>
    </row>
    <row r="48" spans="1:86" s="18" customFormat="1" ht="14.25">
      <c r="A48" s="26"/>
      <c r="B48" s="26"/>
      <c r="C48" s="278"/>
      <c r="D48" s="564" t="s">
        <v>551</v>
      </c>
      <c r="E48" s="550"/>
      <c r="F48" s="551"/>
      <c r="G48" s="83"/>
      <c r="H48" s="268"/>
      <c r="I48" s="793">
        <v>10</v>
      </c>
      <c r="J48" s="26"/>
      <c r="K48" s="83"/>
      <c r="L48" s="26"/>
      <c r="M48" s="83"/>
      <c r="N48" s="26"/>
      <c r="O48" s="849">
        <f t="shared" si="33"/>
        <v>10</v>
      </c>
      <c r="P48" s="846">
        <f t="shared" si="16"/>
        <v>7</v>
      </c>
      <c r="Q48" s="846">
        <f t="shared" ref="Q48" si="34">P48*0.7</f>
        <v>4.8999999999999995</v>
      </c>
      <c r="R48" s="846">
        <f t="shared" ref="R48" si="35">Q48*0.7</f>
        <v>3.4299999999999993</v>
      </c>
      <c r="S48" s="561"/>
      <c r="T48" s="520"/>
      <c r="U48" s="552">
        <v>10</v>
      </c>
      <c r="V48" s="520"/>
      <c r="W48" s="552">
        <v>10</v>
      </c>
      <c r="X48" s="520"/>
      <c r="Y48" s="520"/>
      <c r="Z48" s="520"/>
      <c r="AA48" s="552">
        <v>10</v>
      </c>
      <c r="AB48" s="520"/>
      <c r="AC48" s="552">
        <v>10</v>
      </c>
      <c r="AD48" s="520"/>
      <c r="AE48" s="520"/>
      <c r="AF48" s="520"/>
      <c r="AG48" s="552">
        <v>10</v>
      </c>
      <c r="AH48" s="520"/>
      <c r="AI48" s="552">
        <v>10</v>
      </c>
      <c r="AJ48" s="520"/>
      <c r="AK48" s="520"/>
      <c r="AL48" s="520"/>
      <c r="AM48" s="552">
        <v>10</v>
      </c>
      <c r="AN48" s="520"/>
      <c r="AO48" s="552">
        <v>10</v>
      </c>
      <c r="AP48" s="520"/>
      <c r="AQ48" s="520"/>
      <c r="AR48" s="520"/>
      <c r="AS48" s="552">
        <v>10</v>
      </c>
      <c r="AT48" s="520"/>
      <c r="AU48" s="552">
        <v>10</v>
      </c>
      <c r="AV48" s="520"/>
      <c r="AW48" s="520"/>
      <c r="AX48" s="520"/>
      <c r="AY48" s="552">
        <v>10</v>
      </c>
      <c r="AZ48" s="520"/>
      <c r="BA48" s="552">
        <v>10</v>
      </c>
      <c r="BB48" s="520"/>
      <c r="BC48" s="520"/>
      <c r="BD48" s="520"/>
      <c r="BE48" s="552">
        <v>10</v>
      </c>
      <c r="BF48" s="520"/>
      <c r="BG48" s="552">
        <v>10</v>
      </c>
      <c r="BH48" s="520"/>
      <c r="BI48" s="520"/>
      <c r="BJ48" s="520"/>
      <c r="BK48" s="552">
        <v>10</v>
      </c>
      <c r="BL48" s="520"/>
      <c r="BM48" s="552">
        <v>10</v>
      </c>
      <c r="BN48" s="520"/>
      <c r="BO48" s="520"/>
      <c r="BP48" s="520"/>
      <c r="BQ48" s="552">
        <v>10</v>
      </c>
      <c r="BR48" s="520"/>
      <c r="BS48" s="552">
        <v>10</v>
      </c>
      <c r="BT48" s="520"/>
      <c r="BU48" s="520"/>
      <c r="BV48" s="520"/>
      <c r="BW48" s="552">
        <v>10</v>
      </c>
      <c r="BX48" s="520"/>
      <c r="BY48" s="552">
        <v>10</v>
      </c>
      <c r="BZ48" s="520"/>
      <c r="CD48" s="422"/>
      <c r="CE48" s="422"/>
      <c r="CF48" s="422"/>
      <c r="CG48" s="422"/>
      <c r="CH48" s="422"/>
    </row>
    <row r="49" spans="1:86" s="18" customFormat="1" ht="14.25">
      <c r="A49" s="26"/>
      <c r="B49" s="26"/>
      <c r="C49" s="278"/>
      <c r="D49" s="564" t="s">
        <v>1813</v>
      </c>
      <c r="E49" s="550"/>
      <c r="F49" s="551"/>
      <c r="G49" s="83"/>
      <c r="H49" s="268"/>
      <c r="I49" s="26"/>
      <c r="J49" s="26"/>
      <c r="K49" s="83"/>
      <c r="L49" s="26"/>
      <c r="M49" s="83"/>
      <c r="N49" s="26"/>
      <c r="O49" s="581">
        <f t="shared" si="33"/>
        <v>0.8</v>
      </c>
      <c r="P49" s="842"/>
      <c r="Q49" s="843"/>
      <c r="R49" s="844"/>
      <c r="S49" s="561"/>
      <c r="T49" s="520"/>
      <c r="U49" s="552">
        <f>100-SUM(U45:U48)</f>
        <v>0</v>
      </c>
      <c r="V49" s="520"/>
      <c r="W49" s="552">
        <f>100-SUM(W45:W48)</f>
        <v>0</v>
      </c>
      <c r="X49" s="520"/>
      <c r="Y49" s="520"/>
      <c r="Z49" s="520"/>
      <c r="AA49" s="552">
        <f>100-SUM(AA45:AA48)</f>
        <v>0</v>
      </c>
      <c r="AB49" s="520"/>
      <c r="AC49" s="552">
        <f>100-SUM(AC45:AC48)</f>
        <v>0</v>
      </c>
      <c r="AD49" s="520"/>
      <c r="AE49" s="520"/>
      <c r="AF49" s="520"/>
      <c r="AG49" s="552">
        <f>100-SUM(AG45:AG48)</f>
        <v>0</v>
      </c>
      <c r="AH49" s="520"/>
      <c r="AI49" s="552">
        <f>100-SUM(AI45:AI48)</f>
        <v>0</v>
      </c>
      <c r="AJ49" s="520"/>
      <c r="AK49" s="520"/>
      <c r="AL49" s="520"/>
      <c r="AM49" s="552">
        <f>100-SUM(AM45:AM48)</f>
        <v>0</v>
      </c>
      <c r="AN49" s="520"/>
      <c r="AO49" s="552">
        <f>100-SUM(AO45:AO48)</f>
        <v>0</v>
      </c>
      <c r="AP49" s="520"/>
      <c r="AQ49" s="520"/>
      <c r="AR49" s="520"/>
      <c r="AS49" s="552">
        <f>100-SUM(AS45:AS48)</f>
        <v>0</v>
      </c>
      <c r="AT49" s="520"/>
      <c r="AU49" s="552">
        <f>100-SUM(AU45:AU48)</f>
        <v>0</v>
      </c>
      <c r="AV49" s="520"/>
      <c r="AW49" s="520"/>
      <c r="AX49" s="520"/>
      <c r="AY49" s="552">
        <f>100-SUM(AY45:AY48)</f>
        <v>0</v>
      </c>
      <c r="AZ49" s="520"/>
      <c r="BA49" s="552">
        <f>100-SUM(BA45:BA48)</f>
        <v>0</v>
      </c>
      <c r="BB49" s="520"/>
      <c r="BC49" s="520"/>
      <c r="BD49" s="520"/>
      <c r="BE49" s="552">
        <f>100-SUM(BE45:BE48)</f>
        <v>5</v>
      </c>
      <c r="BF49" s="520"/>
      <c r="BG49" s="552">
        <f>100-SUM(BG45:BG48)</f>
        <v>5</v>
      </c>
      <c r="BH49" s="520"/>
      <c r="BI49" s="520"/>
      <c r="BJ49" s="520"/>
      <c r="BK49" s="552">
        <f>100-SUM(BK45:BK48)</f>
        <v>0</v>
      </c>
      <c r="BL49" s="520"/>
      <c r="BM49" s="552">
        <f>100-SUM(BM45:BM48)</f>
        <v>0</v>
      </c>
      <c r="BN49" s="520"/>
      <c r="BO49" s="520"/>
      <c r="BP49" s="520"/>
      <c r="BQ49" s="552">
        <f>100-SUM(BQ45:BQ48)</f>
        <v>3</v>
      </c>
      <c r="BR49" s="520"/>
      <c r="BS49" s="552">
        <f>100-SUM(BS45:BS48)</f>
        <v>3</v>
      </c>
      <c r="BT49" s="520"/>
      <c r="BU49" s="520"/>
      <c r="BV49" s="520"/>
      <c r="BW49" s="552">
        <f>100-SUM(BW45:BW48)</f>
        <v>0</v>
      </c>
      <c r="BX49" s="520"/>
      <c r="BY49" s="552">
        <f>100-SUM(BY45:BY48)</f>
        <v>0</v>
      </c>
      <c r="BZ49" s="520"/>
      <c r="CD49" s="422"/>
      <c r="CE49" s="422"/>
      <c r="CF49" s="422"/>
      <c r="CG49" s="422"/>
      <c r="CH49" s="422"/>
    </row>
    <row r="50" spans="1:86">
      <c r="O50" s="19"/>
      <c r="P50" s="19"/>
      <c r="Q50" s="18"/>
      <c r="R50" s="18"/>
      <c r="S50" s="19"/>
      <c r="W50" s="18"/>
      <c r="Y50" s="19"/>
      <c r="AC50" s="18"/>
      <c r="AE50" s="19"/>
      <c r="AI50" s="18"/>
      <c r="AK50" s="19"/>
      <c r="AO50" s="18"/>
      <c r="AQ50" s="19"/>
      <c r="AU50" s="18"/>
      <c r="AW50" s="19"/>
      <c r="BA50" s="18"/>
      <c r="BC50" s="19"/>
      <c r="BG50" s="18"/>
      <c r="BI50" s="19"/>
      <c r="BM50" s="18"/>
      <c r="BO50" s="19"/>
      <c r="BS50" s="18"/>
      <c r="BT50" s="19"/>
      <c r="BU50" s="19"/>
      <c r="BW50" s="421"/>
      <c r="BX50" s="421"/>
      <c r="BY50" s="421"/>
      <c r="BZ50" s="421"/>
      <c r="CA50" s="421"/>
      <c r="CD50" s="19"/>
      <c r="CE50" s="19"/>
      <c r="CF50" s="19"/>
      <c r="CG50" s="19"/>
      <c r="CH50" s="19"/>
    </row>
    <row r="51" spans="1:86">
      <c r="O51" s="19"/>
      <c r="P51" s="19"/>
      <c r="Q51" s="18"/>
      <c r="R51" s="18"/>
      <c r="S51" s="19"/>
      <c r="W51" s="18"/>
      <c r="Y51" s="19"/>
      <c r="AC51" s="18"/>
      <c r="AE51" s="19"/>
      <c r="AI51" s="18"/>
      <c r="AK51" s="19"/>
      <c r="AO51" s="18"/>
      <c r="AQ51" s="19"/>
      <c r="AU51" s="18"/>
      <c r="AW51" s="19"/>
      <c r="BA51" s="18"/>
      <c r="BC51" s="19"/>
      <c r="BG51" s="18"/>
      <c r="BI51" s="19"/>
      <c r="BM51" s="18"/>
      <c r="BO51" s="19"/>
      <c r="BS51" s="18"/>
      <c r="BT51" s="19"/>
      <c r="BU51" s="19"/>
      <c r="BW51" s="421"/>
      <c r="BX51" s="421"/>
      <c r="BY51" s="421"/>
      <c r="BZ51" s="421"/>
      <c r="CA51" s="421"/>
      <c r="CD51" s="19"/>
      <c r="CE51" s="19"/>
      <c r="CF51" s="19"/>
      <c r="CG51" s="19"/>
      <c r="CH51" s="19"/>
    </row>
    <row r="52" spans="1:86" s="18" customFormat="1" ht="14.25">
      <c r="A52" s="24"/>
      <c r="B52" s="24"/>
      <c r="C52" s="278"/>
      <c r="D52" s="879" t="s">
        <v>1960</v>
      </c>
      <c r="E52" s="24"/>
      <c r="F52" s="94"/>
      <c r="G52" s="94"/>
      <c r="H52" s="24"/>
      <c r="I52" s="24"/>
      <c r="J52" s="24"/>
      <c r="K52" s="94"/>
      <c r="L52" s="24"/>
      <c r="M52" s="94"/>
      <c r="N52" s="24"/>
      <c r="BW52" s="585" t="s">
        <v>1477</v>
      </c>
      <c r="CD52" s="584">
        <f>SUMPRODUCT($CF$4:$CF$40,CE4:CE40)</f>
        <v>89.2</v>
      </c>
      <c r="CE52" s="585"/>
      <c r="CF52" s="584">
        <f>SUMPRODUCT($CD$4:$CD$40,CG4:CG40)</f>
        <v>5</v>
      </c>
      <c r="CG52" s="585"/>
    </row>
    <row r="53" spans="1:86" s="18" customFormat="1" ht="14.25">
      <c r="A53" s="24"/>
      <c r="B53" s="24"/>
      <c r="C53" s="278"/>
      <c r="D53" s="893" t="s">
        <v>2008</v>
      </c>
      <c r="E53" s="24"/>
      <c r="F53" s="94"/>
      <c r="G53" s="94"/>
      <c r="H53" s="24"/>
      <c r="I53" s="24"/>
      <c r="J53" s="24"/>
      <c r="K53" s="94"/>
      <c r="L53" s="24"/>
      <c r="M53" s="94"/>
      <c r="N53" s="24"/>
      <c r="BW53" s="585" t="s">
        <v>1476</v>
      </c>
      <c r="CD53" s="584">
        <f>SUMPRODUCT($I$4:$I$40,CE4:CE40)</f>
        <v>90</v>
      </c>
      <c r="CE53" s="585"/>
      <c r="CF53" s="584">
        <f>SUMPRODUCT($I$4:$I$40,CG4:CG40)</f>
        <v>5</v>
      </c>
      <c r="CG53" s="585"/>
    </row>
    <row r="54" spans="1:86" s="18" customFormat="1" ht="14.25">
      <c r="A54" s="24"/>
      <c r="B54" s="24"/>
      <c r="C54" s="278"/>
      <c r="E54" s="24"/>
      <c r="F54" s="94"/>
      <c r="G54" s="94"/>
      <c r="H54" s="24"/>
      <c r="I54" s="24"/>
      <c r="J54" s="24"/>
      <c r="K54" s="94"/>
      <c r="L54" s="24"/>
      <c r="M54" s="94"/>
      <c r="N54" s="24"/>
      <c r="BW54" s="422"/>
      <c r="BX54" s="422"/>
      <c r="BY54" s="422"/>
      <c r="BZ54" s="422"/>
      <c r="CA54" s="422"/>
    </row>
    <row r="55" spans="1:86" s="18" customFormat="1" ht="14.25">
      <c r="A55" s="24"/>
      <c r="B55" s="24"/>
      <c r="C55" s="278"/>
      <c r="E55" s="24"/>
      <c r="F55" s="94"/>
      <c r="G55" s="94"/>
      <c r="H55" s="24"/>
      <c r="I55" s="24"/>
      <c r="J55" s="24"/>
      <c r="K55" s="94"/>
      <c r="L55" s="24"/>
      <c r="M55" s="94"/>
      <c r="N55" s="24"/>
      <c r="BW55" s="422"/>
      <c r="BX55" s="422"/>
      <c r="BY55" s="422"/>
      <c r="BZ55" s="422"/>
      <c r="CA55" s="422"/>
    </row>
    <row r="56" spans="1:86" s="18" customFormat="1" ht="14.25">
      <c r="A56" s="24"/>
      <c r="B56" s="24"/>
      <c r="C56" s="278"/>
      <c r="E56" s="24"/>
      <c r="F56" s="94"/>
      <c r="G56" s="94"/>
      <c r="H56" s="24"/>
      <c r="I56" s="24"/>
      <c r="J56" s="24"/>
      <c r="K56" s="94"/>
      <c r="L56" s="24"/>
      <c r="M56" s="94"/>
      <c r="N56" s="24"/>
      <c r="BW56" s="422"/>
      <c r="BX56" s="422"/>
      <c r="BY56" s="422"/>
      <c r="BZ56" s="422"/>
      <c r="CA56" s="422"/>
    </row>
    <row r="57" spans="1:86" s="18" customFormat="1" ht="14.25">
      <c r="A57" s="24"/>
      <c r="B57" s="24"/>
      <c r="C57" s="278"/>
      <c r="E57" s="24"/>
      <c r="F57" s="94"/>
      <c r="G57" s="94"/>
      <c r="H57" s="24"/>
      <c r="I57" s="24"/>
      <c r="J57" s="24"/>
      <c r="K57" s="94"/>
      <c r="L57" s="24"/>
      <c r="M57" s="94"/>
      <c r="N57" s="24"/>
      <c r="BW57" s="422"/>
      <c r="BX57" s="422"/>
      <c r="BY57" s="422"/>
      <c r="BZ57" s="422"/>
      <c r="CA57" s="422"/>
    </row>
    <row r="58" spans="1:86" s="18" customFormat="1" ht="14.25">
      <c r="A58" s="24"/>
      <c r="B58" s="24"/>
      <c r="C58" s="278"/>
      <c r="E58" s="24"/>
      <c r="F58" s="94"/>
      <c r="G58" s="94"/>
      <c r="H58" s="24"/>
      <c r="I58" s="24"/>
      <c r="J58" s="24"/>
      <c r="K58" s="94"/>
      <c r="L58" s="24"/>
      <c r="M58" s="94"/>
      <c r="N58" s="24"/>
      <c r="BW58" s="422"/>
      <c r="BX58" s="422"/>
      <c r="BY58" s="422"/>
      <c r="BZ58" s="422"/>
      <c r="CA58" s="422"/>
    </row>
    <row r="59" spans="1:86" s="18" customFormat="1" ht="14.25">
      <c r="A59" s="24"/>
      <c r="B59" s="24"/>
      <c r="C59" s="278"/>
      <c r="E59" s="24"/>
      <c r="F59" s="94"/>
      <c r="G59" s="94"/>
      <c r="H59" s="24"/>
      <c r="I59" s="24"/>
      <c r="J59" s="24"/>
      <c r="K59" s="94"/>
      <c r="L59" s="24"/>
      <c r="M59" s="94"/>
      <c r="N59" s="24"/>
      <c r="BW59" s="422"/>
      <c r="BX59" s="422"/>
      <c r="BY59" s="422"/>
      <c r="BZ59" s="422"/>
      <c r="CA59" s="422"/>
    </row>
    <row r="60" spans="1:86" s="18" customFormat="1" ht="14.25">
      <c r="A60" s="24"/>
      <c r="B60" s="24"/>
      <c r="C60" s="278"/>
      <c r="E60" s="24"/>
      <c r="F60" s="94"/>
      <c r="G60" s="94"/>
      <c r="H60" s="24"/>
      <c r="I60" s="24"/>
      <c r="J60" s="24"/>
      <c r="K60" s="94"/>
      <c r="L60" s="24"/>
      <c r="M60" s="94"/>
      <c r="N60" s="24"/>
      <c r="AB60" s="645"/>
      <c r="BW60" s="422"/>
      <c r="BX60" s="422"/>
      <c r="BY60" s="422"/>
      <c r="BZ60" s="422"/>
      <c r="CA60" s="422"/>
    </row>
    <row r="61" spans="1:86" s="18" customFormat="1" ht="14.25">
      <c r="A61" s="24"/>
      <c r="B61" s="24"/>
      <c r="C61" s="278"/>
      <c r="E61" s="24"/>
      <c r="F61" s="94"/>
      <c r="G61" s="94"/>
      <c r="H61" s="24"/>
      <c r="I61" s="24"/>
      <c r="J61" s="24"/>
      <c r="K61" s="94"/>
      <c r="L61" s="24"/>
      <c r="M61" s="94"/>
      <c r="N61" s="24"/>
      <c r="BW61" s="422"/>
      <c r="BX61" s="422"/>
      <c r="BY61" s="422"/>
      <c r="BZ61" s="422"/>
      <c r="CA61" s="422"/>
    </row>
    <row r="62" spans="1:86" s="18" customFormat="1" ht="14.25">
      <c r="A62" s="24"/>
      <c r="B62" s="24"/>
      <c r="C62" s="278"/>
      <c r="E62" s="24"/>
      <c r="F62" s="94"/>
      <c r="G62" s="94"/>
      <c r="H62" s="24"/>
      <c r="I62" s="24"/>
      <c r="J62" s="24"/>
      <c r="K62" s="94"/>
      <c r="L62" s="24"/>
      <c r="M62" s="94"/>
      <c r="N62" s="24"/>
      <c r="BW62" s="422"/>
      <c r="BX62" s="422"/>
      <c r="BY62" s="422"/>
      <c r="BZ62" s="422"/>
      <c r="CA62" s="422"/>
    </row>
    <row r="63" spans="1:86" s="18" customFormat="1" ht="14.25">
      <c r="A63" s="24"/>
      <c r="B63" s="24"/>
      <c r="C63" s="278"/>
      <c r="E63" s="24"/>
      <c r="F63" s="94"/>
      <c r="G63" s="94"/>
      <c r="H63" s="24"/>
      <c r="I63" s="24"/>
      <c r="J63" s="24"/>
      <c r="K63" s="94"/>
      <c r="L63" s="24"/>
      <c r="M63" s="94"/>
      <c r="N63" s="24"/>
      <c r="BW63" s="422"/>
      <c r="BX63" s="422"/>
      <c r="BY63" s="422"/>
      <c r="BZ63" s="422"/>
      <c r="CA63" s="422"/>
    </row>
    <row r="64" spans="1:86" s="18" customFormat="1" ht="14.25">
      <c r="A64" s="24"/>
      <c r="B64" s="24"/>
      <c r="C64" s="278"/>
      <c r="E64" s="24"/>
      <c r="F64" s="94"/>
      <c r="G64" s="94"/>
      <c r="H64" s="24"/>
      <c r="I64" s="24"/>
      <c r="J64" s="24"/>
      <c r="K64" s="94"/>
      <c r="L64" s="24"/>
      <c r="M64" s="94"/>
      <c r="N64" s="24"/>
      <c r="BW64" s="422"/>
      <c r="BX64" s="422"/>
      <c r="BY64" s="422"/>
      <c r="BZ64" s="422"/>
      <c r="CA64" s="422"/>
    </row>
    <row r="65" spans="1:79" s="18" customFormat="1" ht="14.25">
      <c r="A65" s="24"/>
      <c r="B65" s="24"/>
      <c r="C65" s="278"/>
      <c r="E65" s="24"/>
      <c r="F65" s="94"/>
      <c r="G65" s="94"/>
      <c r="H65" s="24"/>
      <c r="I65" s="24"/>
      <c r="J65" s="24"/>
      <c r="K65" s="94"/>
      <c r="L65" s="24"/>
      <c r="M65" s="94"/>
      <c r="N65" s="24"/>
      <c r="BW65" s="422"/>
      <c r="BX65" s="422"/>
      <c r="BY65" s="422"/>
      <c r="BZ65" s="422"/>
      <c r="CA65" s="422"/>
    </row>
    <row r="66" spans="1:79" s="18" customFormat="1" ht="14.25">
      <c r="A66" s="24"/>
      <c r="B66" s="24"/>
      <c r="C66" s="278"/>
      <c r="E66" s="24"/>
      <c r="F66" s="94"/>
      <c r="G66" s="94"/>
      <c r="H66" s="24"/>
      <c r="I66" s="24"/>
      <c r="J66" s="24"/>
      <c r="K66" s="94"/>
      <c r="L66" s="24"/>
      <c r="M66" s="94"/>
      <c r="N66" s="24"/>
      <c r="BW66" s="422"/>
      <c r="BX66" s="422"/>
      <c r="BY66" s="422"/>
      <c r="BZ66" s="422"/>
      <c r="CA66" s="422"/>
    </row>
    <row r="67" spans="1:79" s="18" customFormat="1" ht="14.25">
      <c r="A67" s="24"/>
      <c r="B67" s="24"/>
      <c r="C67" s="278"/>
      <c r="E67" s="24"/>
      <c r="F67" s="94"/>
      <c r="G67" s="94"/>
      <c r="H67" s="24"/>
      <c r="I67" s="24"/>
      <c r="J67" s="24"/>
      <c r="K67" s="94"/>
      <c r="L67" s="24"/>
      <c r="M67" s="94"/>
      <c r="N67" s="24"/>
      <c r="BW67" s="422"/>
      <c r="BX67" s="422"/>
      <c r="BY67" s="422"/>
      <c r="BZ67" s="422"/>
      <c r="CA67" s="422"/>
    </row>
    <row r="68" spans="1:79" s="18" customFormat="1" ht="14.25">
      <c r="A68" s="24"/>
      <c r="B68" s="24"/>
      <c r="C68" s="278"/>
      <c r="E68" s="24"/>
      <c r="F68" s="94"/>
      <c r="G68" s="94"/>
      <c r="H68" s="24"/>
      <c r="I68" s="24"/>
      <c r="J68" s="24"/>
      <c r="K68" s="94"/>
      <c r="L68" s="24"/>
      <c r="M68" s="94"/>
      <c r="N68" s="24"/>
      <c r="BW68" s="422"/>
      <c r="BX68" s="422"/>
      <c r="BY68" s="422"/>
      <c r="BZ68" s="422"/>
      <c r="CA68" s="422"/>
    </row>
    <row r="69" spans="1:79" s="18" customFormat="1" ht="14.25">
      <c r="A69" s="24"/>
      <c r="B69" s="24"/>
      <c r="C69" s="278"/>
      <c r="E69" s="24"/>
      <c r="F69" s="94"/>
      <c r="G69" s="94"/>
      <c r="H69" s="24"/>
      <c r="I69" s="24"/>
      <c r="J69" s="24"/>
      <c r="K69" s="94"/>
      <c r="L69" s="24"/>
      <c r="M69" s="94"/>
      <c r="N69" s="24"/>
      <c r="BW69" s="422"/>
      <c r="BX69" s="422"/>
      <c r="BY69" s="422"/>
      <c r="BZ69" s="422"/>
      <c r="CA69" s="422"/>
    </row>
    <row r="70" spans="1:79" s="18" customFormat="1" ht="14.25">
      <c r="A70" s="24"/>
      <c r="B70" s="24"/>
      <c r="C70" s="278"/>
      <c r="E70" s="24"/>
      <c r="F70" s="94"/>
      <c r="G70" s="94"/>
      <c r="H70" s="24"/>
      <c r="I70" s="24"/>
      <c r="J70" s="24"/>
      <c r="K70" s="94"/>
      <c r="L70" s="24"/>
      <c r="M70" s="94"/>
      <c r="N70" s="24"/>
      <c r="BW70" s="422"/>
      <c r="BX70" s="422"/>
      <c r="BY70" s="422"/>
      <c r="BZ70" s="422"/>
      <c r="CA70" s="422"/>
    </row>
    <row r="71" spans="1:79" s="18" customFormat="1" ht="14.25">
      <c r="A71" s="24"/>
      <c r="B71" s="24"/>
      <c r="C71" s="278"/>
      <c r="E71" s="24"/>
      <c r="F71" s="94"/>
      <c r="G71" s="94"/>
      <c r="H71" s="24"/>
      <c r="I71" s="24"/>
      <c r="J71" s="24"/>
      <c r="K71" s="94"/>
      <c r="L71" s="24"/>
      <c r="M71" s="94"/>
      <c r="N71" s="24"/>
      <c r="BW71" s="422"/>
      <c r="BX71" s="422"/>
      <c r="BY71" s="422"/>
      <c r="BZ71" s="422"/>
      <c r="CA71" s="422"/>
    </row>
    <row r="72" spans="1:79" s="18" customFormat="1" ht="14.25">
      <c r="A72" s="24"/>
      <c r="B72" s="24"/>
      <c r="C72" s="278"/>
      <c r="E72" s="24"/>
      <c r="F72" s="94"/>
      <c r="G72" s="94"/>
      <c r="H72" s="24"/>
      <c r="I72" s="24"/>
      <c r="J72" s="24"/>
      <c r="K72" s="94"/>
      <c r="L72" s="24"/>
      <c r="M72" s="94"/>
      <c r="N72" s="24"/>
      <c r="BW72" s="422"/>
      <c r="BX72" s="422"/>
      <c r="BY72" s="422"/>
      <c r="BZ72" s="422"/>
      <c r="CA72" s="422"/>
    </row>
    <row r="73" spans="1:79" s="18" customFormat="1" ht="14.25">
      <c r="A73" s="24"/>
      <c r="B73" s="24"/>
      <c r="C73" s="278"/>
      <c r="E73" s="24"/>
      <c r="F73" s="94"/>
      <c r="G73" s="94"/>
      <c r="H73" s="24"/>
      <c r="I73" s="24"/>
      <c r="J73" s="24"/>
      <c r="K73" s="94"/>
      <c r="L73" s="24"/>
      <c r="M73" s="94"/>
      <c r="N73" s="24"/>
      <c r="BW73" s="422"/>
      <c r="BX73" s="422"/>
      <c r="BY73" s="422"/>
      <c r="BZ73" s="422"/>
      <c r="CA73" s="422"/>
    </row>
    <row r="74" spans="1:79" s="18" customFormat="1" ht="14.25">
      <c r="A74" s="24"/>
      <c r="B74" s="24"/>
      <c r="C74" s="278"/>
      <c r="E74" s="24"/>
      <c r="F74" s="94"/>
      <c r="G74" s="94"/>
      <c r="H74" s="24"/>
      <c r="I74" s="24"/>
      <c r="J74" s="24"/>
      <c r="K74" s="94"/>
      <c r="L74" s="24"/>
      <c r="M74" s="94"/>
      <c r="N74" s="24"/>
      <c r="BW74" s="422"/>
      <c r="BX74" s="422"/>
      <c r="BY74" s="422"/>
      <c r="BZ74" s="422"/>
      <c r="CA74" s="422"/>
    </row>
    <row r="75" spans="1:79" s="18" customFormat="1" ht="14.25">
      <c r="A75" s="24"/>
      <c r="B75" s="24"/>
      <c r="C75" s="278"/>
      <c r="E75" s="24"/>
      <c r="F75" s="94"/>
      <c r="G75" s="94"/>
      <c r="H75" s="24"/>
      <c r="I75" s="24"/>
      <c r="J75" s="24"/>
      <c r="K75" s="94"/>
      <c r="L75" s="24"/>
      <c r="M75" s="94"/>
      <c r="N75" s="24"/>
      <c r="BW75" s="422"/>
      <c r="BX75" s="422"/>
      <c r="BY75" s="422"/>
      <c r="BZ75" s="422"/>
      <c r="CA75" s="422"/>
    </row>
    <row r="76" spans="1:79" s="18" customFormat="1" ht="14.25">
      <c r="A76" s="24"/>
      <c r="B76" s="24"/>
      <c r="C76" s="278"/>
      <c r="E76" s="24"/>
      <c r="F76" s="94"/>
      <c r="G76" s="94"/>
      <c r="H76" s="24"/>
      <c r="I76" s="24"/>
      <c r="J76" s="24"/>
      <c r="K76" s="94"/>
      <c r="L76" s="24"/>
      <c r="M76" s="94"/>
      <c r="N76" s="24"/>
      <c r="BW76" s="422"/>
      <c r="BX76" s="422"/>
      <c r="BY76" s="422"/>
      <c r="BZ76" s="422"/>
      <c r="CA76" s="422"/>
    </row>
    <row r="77" spans="1:79" s="18" customFormat="1" ht="14.25">
      <c r="A77" s="24"/>
      <c r="B77" s="24"/>
      <c r="C77" s="278"/>
      <c r="E77" s="24"/>
      <c r="F77" s="94"/>
      <c r="G77" s="94"/>
      <c r="H77" s="24"/>
      <c r="I77" s="24"/>
      <c r="J77" s="24"/>
      <c r="K77" s="94"/>
      <c r="L77" s="24"/>
      <c r="M77" s="94"/>
      <c r="N77" s="24"/>
      <c r="BW77" s="422"/>
      <c r="BX77" s="422"/>
      <c r="BY77" s="422"/>
      <c r="BZ77" s="422"/>
      <c r="CA77" s="422"/>
    </row>
    <row r="78" spans="1:79" s="18" customFormat="1" ht="14.25">
      <c r="A78" s="24"/>
      <c r="B78" s="24"/>
      <c r="C78" s="278"/>
      <c r="E78" s="24"/>
      <c r="F78" s="94"/>
      <c r="G78" s="94"/>
      <c r="H78" s="24"/>
      <c r="I78" s="24"/>
      <c r="J78" s="24"/>
      <c r="K78" s="94"/>
      <c r="L78" s="24"/>
      <c r="M78" s="94"/>
      <c r="N78" s="24"/>
      <c r="BW78" s="422"/>
      <c r="BX78" s="422"/>
      <c r="BY78" s="422"/>
      <c r="BZ78" s="422"/>
      <c r="CA78" s="422"/>
    </row>
    <row r="79" spans="1:79" s="18" customFormat="1" ht="14.25">
      <c r="A79" s="24"/>
      <c r="B79" s="24"/>
      <c r="C79" s="278"/>
      <c r="E79" s="24"/>
      <c r="F79" s="94"/>
      <c r="G79" s="94"/>
      <c r="H79" s="24"/>
      <c r="I79" s="24"/>
      <c r="J79" s="24"/>
      <c r="K79" s="94"/>
      <c r="L79" s="24"/>
      <c r="M79" s="94"/>
      <c r="N79" s="24"/>
      <c r="BW79" s="422"/>
      <c r="BX79" s="422"/>
      <c r="BY79" s="422"/>
      <c r="BZ79" s="422"/>
      <c r="CA79" s="422"/>
    </row>
    <row r="80" spans="1:79" s="18" customFormat="1" ht="14.25">
      <c r="A80" s="24"/>
      <c r="B80" s="24"/>
      <c r="C80" s="278"/>
      <c r="E80" s="24"/>
      <c r="F80" s="94"/>
      <c r="G80" s="94"/>
      <c r="H80" s="24"/>
      <c r="I80" s="24"/>
      <c r="J80" s="24"/>
      <c r="K80" s="94"/>
      <c r="L80" s="24"/>
      <c r="M80" s="94"/>
      <c r="N80" s="24"/>
      <c r="BW80" s="422"/>
      <c r="BX80" s="422"/>
      <c r="BY80" s="422"/>
      <c r="BZ80" s="422"/>
      <c r="CA80" s="422"/>
    </row>
    <row r="81" spans="1:86" s="18" customFormat="1" ht="14.25">
      <c r="A81" s="24"/>
      <c r="B81" s="24"/>
      <c r="C81" s="278"/>
      <c r="E81" s="24"/>
      <c r="F81" s="94"/>
      <c r="G81" s="94"/>
      <c r="H81" s="24"/>
      <c r="I81" s="24"/>
      <c r="J81" s="24"/>
      <c r="K81" s="94"/>
      <c r="L81" s="24"/>
      <c r="M81" s="94"/>
      <c r="N81" s="24"/>
      <c r="BW81" s="422"/>
      <c r="BX81" s="422"/>
      <c r="BY81" s="422"/>
      <c r="BZ81" s="422"/>
      <c r="CA81" s="422"/>
    </row>
    <row r="82" spans="1:86" s="18" customFormat="1" ht="14.25">
      <c r="A82" s="24"/>
      <c r="B82" s="24"/>
      <c r="C82" s="278"/>
      <c r="E82" s="24"/>
      <c r="F82" s="94"/>
      <c r="G82" s="94"/>
      <c r="H82" s="24"/>
      <c r="I82" s="24"/>
      <c r="J82" s="24"/>
      <c r="K82" s="94"/>
      <c r="L82" s="24"/>
      <c r="M82" s="94"/>
      <c r="N82" s="24"/>
      <c r="BW82" s="422"/>
      <c r="BX82" s="422"/>
      <c r="BY82" s="422"/>
      <c r="BZ82" s="422"/>
      <c r="CA82" s="422"/>
    </row>
    <row r="83" spans="1:86" s="18" customFormat="1" ht="14.25">
      <c r="A83" s="24"/>
      <c r="B83" s="24"/>
      <c r="C83" s="278"/>
      <c r="E83" s="24"/>
      <c r="F83" s="94"/>
      <c r="G83" s="94"/>
      <c r="H83" s="24"/>
      <c r="I83" s="24"/>
      <c r="J83" s="24"/>
      <c r="K83" s="94"/>
      <c r="L83" s="24"/>
      <c r="M83" s="94"/>
      <c r="N83" s="24"/>
      <c r="BW83" s="422"/>
      <c r="BX83" s="422"/>
      <c r="BY83" s="422"/>
      <c r="BZ83" s="422"/>
      <c r="CA83" s="422"/>
    </row>
    <row r="84" spans="1:86" s="18" customFormat="1" ht="14.25">
      <c r="A84" s="24"/>
      <c r="B84" s="24"/>
      <c r="C84" s="278"/>
      <c r="E84" s="24"/>
      <c r="F84" s="94"/>
      <c r="G84" s="94"/>
      <c r="H84" s="24"/>
      <c r="I84" s="24"/>
      <c r="J84" s="24"/>
      <c r="K84" s="94"/>
      <c r="L84" s="24"/>
      <c r="M84" s="94"/>
      <c r="N84" s="24"/>
      <c r="BW84" s="422"/>
      <c r="BX84" s="422"/>
      <c r="BY84" s="422"/>
      <c r="BZ84" s="422"/>
      <c r="CA84" s="422"/>
    </row>
    <row r="85" spans="1:86" s="18" customFormat="1" ht="14.25">
      <c r="A85" s="24"/>
      <c r="B85" s="24"/>
      <c r="C85" s="278"/>
      <c r="E85" s="24"/>
      <c r="F85" s="94"/>
      <c r="G85" s="94"/>
      <c r="H85" s="24"/>
      <c r="I85" s="24"/>
      <c r="J85" s="24"/>
      <c r="K85" s="94"/>
      <c r="L85" s="24"/>
      <c r="M85" s="94"/>
      <c r="N85" s="24"/>
      <c r="BW85" s="422"/>
      <c r="BX85" s="422"/>
      <c r="BY85" s="422"/>
      <c r="BZ85" s="422"/>
      <c r="CA85" s="422"/>
    </row>
    <row r="86" spans="1:86" s="18" customFormat="1" ht="14.25">
      <c r="A86" s="24"/>
      <c r="B86" s="24"/>
      <c r="C86" s="278"/>
      <c r="E86" s="24"/>
      <c r="F86" s="94"/>
      <c r="G86" s="94"/>
      <c r="H86" s="24"/>
      <c r="I86" s="24"/>
      <c r="J86" s="24"/>
      <c r="K86" s="94"/>
      <c r="L86" s="24"/>
      <c r="M86" s="94"/>
      <c r="N86" s="24"/>
      <c r="BW86" s="422"/>
      <c r="BX86" s="422"/>
      <c r="BY86" s="422"/>
      <c r="BZ86" s="422"/>
      <c r="CA86" s="422"/>
    </row>
    <row r="87" spans="1:86" s="18" customFormat="1" ht="14.25">
      <c r="A87" s="24"/>
      <c r="B87" s="24"/>
      <c r="C87" s="278"/>
      <c r="E87" s="24"/>
      <c r="F87" s="94"/>
      <c r="G87" s="94"/>
      <c r="H87" s="24"/>
      <c r="I87" s="24"/>
      <c r="J87" s="24"/>
      <c r="K87" s="94"/>
      <c r="L87" s="24"/>
      <c r="M87" s="94"/>
      <c r="N87" s="24"/>
      <c r="BW87" s="422"/>
      <c r="BX87" s="422"/>
      <c r="BY87" s="422"/>
      <c r="BZ87" s="422"/>
      <c r="CA87" s="422"/>
    </row>
    <row r="88" spans="1:86" s="18" customFormat="1" ht="14.25">
      <c r="A88" s="24"/>
      <c r="B88" s="24"/>
      <c r="C88" s="278"/>
      <c r="E88" s="24"/>
      <c r="F88" s="94"/>
      <c r="G88" s="94"/>
      <c r="H88" s="24"/>
      <c r="I88" s="24"/>
      <c r="J88" s="24"/>
      <c r="K88" s="94"/>
      <c r="L88" s="24"/>
      <c r="M88" s="94"/>
      <c r="N88" s="24"/>
      <c r="O88" s="94"/>
      <c r="P88" s="313"/>
      <c r="Q88" s="313"/>
      <c r="R88" s="313"/>
      <c r="S88" s="24"/>
      <c r="CD88" s="422"/>
      <c r="CE88" s="422"/>
      <c r="CF88" s="422"/>
      <c r="CG88" s="422"/>
      <c r="CH88" s="422"/>
    </row>
    <row r="89" spans="1:86" s="18" customFormat="1" ht="14.25">
      <c r="A89" s="24"/>
      <c r="B89" s="24"/>
      <c r="C89" s="278"/>
      <c r="E89" s="24"/>
      <c r="F89" s="94"/>
      <c r="G89" s="94"/>
      <c r="H89" s="24"/>
      <c r="I89" s="24"/>
      <c r="J89" s="24"/>
      <c r="K89" s="94"/>
      <c r="L89" s="24"/>
      <c r="M89" s="94"/>
      <c r="N89" s="24"/>
      <c r="O89" s="94"/>
      <c r="P89" s="313"/>
      <c r="Q89" s="313"/>
      <c r="R89" s="313"/>
      <c r="S89" s="24"/>
      <c r="CD89" s="422"/>
      <c r="CE89" s="422"/>
      <c r="CF89" s="422"/>
      <c r="CG89" s="422"/>
      <c r="CH89" s="422"/>
    </row>
    <row r="90" spans="1:86" s="18" customFormat="1" ht="14.25">
      <c r="A90" s="24"/>
      <c r="B90" s="24"/>
      <c r="C90" s="278"/>
      <c r="E90" s="24"/>
      <c r="F90" s="94"/>
      <c r="G90" s="94"/>
      <c r="H90" s="24"/>
      <c r="I90" s="24"/>
      <c r="J90" s="24"/>
      <c r="K90" s="94"/>
      <c r="L90" s="24"/>
      <c r="M90" s="94"/>
      <c r="N90" s="24"/>
      <c r="O90" s="94"/>
      <c r="P90" s="313"/>
      <c r="Q90" s="313"/>
      <c r="R90" s="313"/>
      <c r="S90" s="24"/>
      <c r="CD90" s="422"/>
      <c r="CE90" s="422"/>
      <c r="CF90" s="422"/>
      <c r="CG90" s="422"/>
      <c r="CH90" s="422"/>
    </row>
    <row r="91" spans="1:86" s="18" customFormat="1" ht="14.25">
      <c r="A91" s="24"/>
      <c r="B91" s="24"/>
      <c r="C91" s="278"/>
      <c r="E91" s="24"/>
      <c r="F91" s="94"/>
      <c r="G91" s="94"/>
      <c r="H91" s="24"/>
      <c r="I91" s="24"/>
      <c r="J91" s="24"/>
      <c r="K91" s="94"/>
      <c r="L91" s="24"/>
      <c r="M91" s="94"/>
      <c r="N91" s="24"/>
      <c r="O91" s="94"/>
      <c r="P91" s="313"/>
      <c r="Q91" s="313"/>
      <c r="R91" s="313"/>
      <c r="S91" s="24"/>
      <c r="CD91" s="422"/>
      <c r="CE91" s="422"/>
      <c r="CF91" s="422"/>
      <c r="CG91" s="422"/>
      <c r="CH91" s="422"/>
    </row>
    <row r="92" spans="1:86" s="18" customFormat="1" ht="14.25">
      <c r="A92" s="24"/>
      <c r="B92" s="24"/>
      <c r="C92" s="278"/>
      <c r="E92" s="24"/>
      <c r="F92" s="94"/>
      <c r="G92" s="94"/>
      <c r="H92" s="24"/>
      <c r="I92" s="24"/>
      <c r="J92" s="24"/>
      <c r="K92" s="94"/>
      <c r="L92" s="24"/>
      <c r="M92" s="94"/>
      <c r="N92" s="24"/>
      <c r="O92" s="94"/>
      <c r="P92" s="313"/>
      <c r="Q92" s="313"/>
      <c r="R92" s="313"/>
      <c r="S92" s="24"/>
      <c r="CD92" s="422"/>
      <c r="CE92" s="422"/>
      <c r="CF92" s="422"/>
      <c r="CG92" s="422"/>
      <c r="CH92" s="422"/>
    </row>
    <row r="93" spans="1:86" s="18" customFormat="1" ht="14.25">
      <c r="A93" s="24"/>
      <c r="B93" s="24"/>
      <c r="C93" s="278"/>
      <c r="E93" s="24"/>
      <c r="F93" s="94"/>
      <c r="G93" s="94"/>
      <c r="H93" s="24"/>
      <c r="I93" s="24"/>
      <c r="J93" s="24"/>
      <c r="K93" s="94"/>
      <c r="L93" s="24"/>
      <c r="M93" s="94"/>
      <c r="N93" s="24"/>
      <c r="O93" s="94"/>
      <c r="P93" s="313"/>
      <c r="Q93" s="313"/>
      <c r="R93" s="313"/>
      <c r="S93" s="24"/>
      <c r="CD93" s="422"/>
      <c r="CE93" s="422"/>
      <c r="CF93" s="422"/>
      <c r="CG93" s="422"/>
      <c r="CH93" s="422"/>
    </row>
    <row r="94" spans="1:86" s="18" customFormat="1" ht="14.25">
      <c r="A94" s="24"/>
      <c r="B94" s="24"/>
      <c r="C94" s="278"/>
      <c r="E94" s="24"/>
      <c r="F94" s="94"/>
      <c r="G94" s="94"/>
      <c r="H94" s="24"/>
      <c r="I94" s="24"/>
      <c r="J94" s="24"/>
      <c r="K94" s="94"/>
      <c r="L94" s="24"/>
      <c r="M94" s="94"/>
      <c r="N94" s="24"/>
      <c r="O94" s="94"/>
      <c r="P94" s="313"/>
      <c r="Q94" s="313"/>
      <c r="R94" s="313"/>
      <c r="S94" s="24"/>
      <c r="CD94" s="422"/>
      <c r="CE94" s="422"/>
      <c r="CF94" s="422"/>
      <c r="CG94" s="422"/>
      <c r="CH94" s="422"/>
    </row>
    <row r="95" spans="1:86" s="18" customFormat="1" ht="14.25">
      <c r="A95" s="24"/>
      <c r="B95" s="24"/>
      <c r="C95" s="278"/>
      <c r="E95" s="24"/>
      <c r="F95" s="94"/>
      <c r="G95" s="94"/>
      <c r="H95" s="24"/>
      <c r="I95" s="24"/>
      <c r="J95" s="24"/>
      <c r="K95" s="94"/>
      <c r="L95" s="24"/>
      <c r="M95" s="94"/>
      <c r="N95" s="24"/>
      <c r="O95" s="94"/>
      <c r="P95" s="313"/>
      <c r="Q95" s="313"/>
      <c r="R95" s="313"/>
      <c r="S95" s="24"/>
      <c r="CD95" s="422"/>
      <c r="CE95" s="422"/>
      <c r="CF95" s="422"/>
      <c r="CG95" s="422"/>
      <c r="CH95" s="422"/>
    </row>
    <row r="96" spans="1:86" s="18" customFormat="1" ht="14.25">
      <c r="A96" s="24"/>
      <c r="B96" s="24"/>
      <c r="C96" s="278"/>
      <c r="E96" s="24"/>
      <c r="F96" s="94"/>
      <c r="G96" s="94"/>
      <c r="H96" s="24"/>
      <c r="I96" s="24"/>
      <c r="J96" s="24"/>
      <c r="K96" s="94"/>
      <c r="L96" s="24"/>
      <c r="M96" s="94"/>
      <c r="N96" s="24"/>
      <c r="O96" s="94"/>
      <c r="P96" s="313"/>
      <c r="Q96" s="313"/>
      <c r="R96" s="313"/>
      <c r="S96" s="24"/>
      <c r="CD96" s="422"/>
      <c r="CE96" s="422"/>
      <c r="CF96" s="422"/>
      <c r="CG96" s="422"/>
      <c r="CH96" s="422"/>
    </row>
    <row r="97" spans="1:86" s="18" customFormat="1" ht="14.25">
      <c r="A97" s="24"/>
      <c r="B97" s="24"/>
      <c r="C97" s="278"/>
      <c r="E97" s="24"/>
      <c r="F97" s="94"/>
      <c r="G97" s="94"/>
      <c r="H97" s="24"/>
      <c r="I97" s="24"/>
      <c r="J97" s="24"/>
      <c r="K97" s="94"/>
      <c r="L97" s="24"/>
      <c r="M97" s="94"/>
      <c r="N97" s="24"/>
      <c r="O97" s="94"/>
      <c r="P97" s="313"/>
      <c r="Q97" s="313"/>
      <c r="R97" s="313"/>
      <c r="S97" s="24"/>
      <c r="CD97" s="422"/>
      <c r="CE97" s="422"/>
      <c r="CF97" s="422"/>
      <c r="CG97" s="422"/>
      <c r="CH97" s="422"/>
    </row>
    <row r="98" spans="1:86" s="18" customFormat="1" ht="14.25">
      <c r="A98" s="24"/>
      <c r="B98" s="24"/>
      <c r="C98" s="278"/>
      <c r="E98" s="24"/>
      <c r="F98" s="94"/>
      <c r="G98" s="94"/>
      <c r="H98" s="24"/>
      <c r="I98" s="24"/>
      <c r="J98" s="24"/>
      <c r="K98" s="94"/>
      <c r="L98" s="24"/>
      <c r="M98" s="94"/>
      <c r="N98" s="24"/>
      <c r="O98" s="94"/>
      <c r="P98" s="313"/>
      <c r="Q98" s="313"/>
      <c r="R98" s="313"/>
      <c r="S98" s="24"/>
      <c r="CD98" s="422"/>
      <c r="CE98" s="422"/>
      <c r="CF98" s="422"/>
      <c r="CG98" s="422"/>
      <c r="CH98" s="422"/>
    </row>
    <row r="99" spans="1:86" s="18" customFormat="1" ht="14.25">
      <c r="A99" s="24"/>
      <c r="B99" s="24"/>
      <c r="C99" s="278"/>
      <c r="E99" s="24"/>
      <c r="F99" s="94"/>
      <c r="G99" s="94"/>
      <c r="H99" s="24"/>
      <c r="I99" s="24"/>
      <c r="J99" s="24"/>
      <c r="K99" s="94"/>
      <c r="L99" s="24"/>
      <c r="M99" s="94"/>
      <c r="N99" s="24"/>
      <c r="O99" s="94"/>
      <c r="P99" s="313"/>
      <c r="Q99" s="313"/>
      <c r="R99" s="313"/>
      <c r="S99" s="24"/>
      <c r="CD99" s="422"/>
      <c r="CE99" s="422"/>
      <c r="CF99" s="422"/>
      <c r="CG99" s="422"/>
      <c r="CH99" s="422"/>
    </row>
    <row r="100" spans="1:86" s="18" customFormat="1" ht="14.25">
      <c r="A100" s="24"/>
      <c r="B100" s="24"/>
      <c r="C100" s="278"/>
      <c r="E100" s="24"/>
      <c r="F100" s="94"/>
      <c r="G100" s="94"/>
      <c r="H100" s="24"/>
      <c r="I100" s="24"/>
      <c r="J100" s="24"/>
      <c r="K100" s="94"/>
      <c r="L100" s="24"/>
      <c r="M100" s="94"/>
      <c r="N100" s="24"/>
      <c r="O100" s="94"/>
      <c r="P100" s="313"/>
      <c r="Q100" s="313"/>
      <c r="R100" s="313"/>
      <c r="S100" s="24"/>
      <c r="CD100" s="422"/>
      <c r="CE100" s="422"/>
      <c r="CF100" s="422"/>
      <c r="CG100" s="422"/>
      <c r="CH100" s="422"/>
    </row>
    <row r="101" spans="1:86" s="18" customFormat="1" ht="14.25">
      <c r="A101" s="24"/>
      <c r="B101" s="24"/>
      <c r="C101" s="278"/>
      <c r="E101" s="24"/>
      <c r="F101" s="94"/>
      <c r="G101" s="94"/>
      <c r="H101" s="24"/>
      <c r="I101" s="24"/>
      <c r="J101" s="24"/>
      <c r="K101" s="94"/>
      <c r="L101" s="24"/>
      <c r="M101" s="94"/>
      <c r="N101" s="24"/>
      <c r="O101" s="94"/>
      <c r="P101" s="313"/>
      <c r="Q101" s="313"/>
      <c r="R101" s="313"/>
      <c r="S101" s="24"/>
      <c r="CD101" s="422"/>
      <c r="CE101" s="422"/>
      <c r="CF101" s="422"/>
      <c r="CG101" s="422"/>
      <c r="CH101" s="422"/>
    </row>
    <row r="102" spans="1:86" s="18" customFormat="1" ht="14.25">
      <c r="A102" s="24"/>
      <c r="B102" s="24"/>
      <c r="C102" s="278"/>
      <c r="E102" s="24"/>
      <c r="F102" s="94"/>
      <c r="G102" s="94"/>
      <c r="H102" s="24"/>
      <c r="I102" s="24"/>
      <c r="J102" s="24"/>
      <c r="K102" s="94"/>
      <c r="L102" s="24"/>
      <c r="M102" s="94"/>
      <c r="N102" s="24"/>
      <c r="O102" s="94"/>
      <c r="P102" s="313"/>
      <c r="Q102" s="313"/>
      <c r="R102" s="313"/>
      <c r="S102" s="24"/>
      <c r="CD102" s="422"/>
      <c r="CE102" s="422"/>
      <c r="CF102" s="422"/>
      <c r="CG102" s="422"/>
      <c r="CH102" s="422"/>
    </row>
    <row r="103" spans="1:86" s="18" customFormat="1" ht="14.25">
      <c r="A103" s="24"/>
      <c r="B103" s="24"/>
      <c r="C103" s="278"/>
      <c r="E103" s="24"/>
      <c r="F103" s="94"/>
      <c r="G103" s="94"/>
      <c r="H103" s="24"/>
      <c r="I103" s="24"/>
      <c r="J103" s="24"/>
      <c r="K103" s="94"/>
      <c r="L103" s="24"/>
      <c r="M103" s="94"/>
      <c r="N103" s="24"/>
      <c r="O103" s="94"/>
      <c r="P103" s="313"/>
      <c r="Q103" s="313"/>
      <c r="R103" s="313"/>
      <c r="S103" s="24"/>
      <c r="CD103" s="422"/>
      <c r="CE103" s="422"/>
      <c r="CF103" s="422"/>
      <c r="CG103" s="422"/>
      <c r="CH103" s="422"/>
    </row>
    <row r="104" spans="1:86" s="18" customFormat="1" ht="14.25">
      <c r="A104" s="24"/>
      <c r="B104" s="24"/>
      <c r="C104" s="278"/>
      <c r="E104" s="24"/>
      <c r="F104" s="94"/>
      <c r="G104" s="94"/>
      <c r="H104" s="24"/>
      <c r="I104" s="24"/>
      <c r="J104" s="24"/>
      <c r="K104" s="94"/>
      <c r="L104" s="24"/>
      <c r="M104" s="94"/>
      <c r="N104" s="24"/>
      <c r="O104" s="94"/>
      <c r="P104" s="313"/>
      <c r="Q104" s="313"/>
      <c r="R104" s="313"/>
      <c r="S104" s="24"/>
      <c r="CD104" s="422"/>
      <c r="CE104" s="422"/>
      <c r="CF104" s="422"/>
      <c r="CG104" s="422"/>
      <c r="CH104" s="422"/>
    </row>
    <row r="105" spans="1:86" s="18" customFormat="1" ht="14.25">
      <c r="A105" s="24"/>
      <c r="B105" s="24"/>
      <c r="C105" s="278"/>
      <c r="E105" s="24"/>
      <c r="F105" s="94"/>
      <c r="G105" s="94"/>
      <c r="H105" s="24"/>
      <c r="I105" s="24"/>
      <c r="J105" s="24"/>
      <c r="K105" s="94"/>
      <c r="L105" s="24"/>
      <c r="M105" s="94"/>
      <c r="N105" s="24"/>
      <c r="O105" s="94"/>
      <c r="P105" s="313"/>
      <c r="Q105" s="313"/>
      <c r="R105" s="313"/>
      <c r="S105" s="24"/>
      <c r="CD105" s="422"/>
      <c r="CE105" s="422"/>
      <c r="CF105" s="422"/>
      <c r="CG105" s="422"/>
      <c r="CH105" s="422"/>
    </row>
    <row r="106" spans="1:86" s="18" customFormat="1" ht="14.25">
      <c r="A106" s="24"/>
      <c r="B106" s="24"/>
      <c r="C106" s="278"/>
      <c r="E106" s="24"/>
      <c r="F106" s="94"/>
      <c r="G106" s="94"/>
      <c r="H106" s="24"/>
      <c r="I106" s="24"/>
      <c r="J106" s="24"/>
      <c r="K106" s="94"/>
      <c r="L106" s="24"/>
      <c r="M106" s="94"/>
      <c r="N106" s="24"/>
      <c r="O106" s="94"/>
      <c r="P106" s="313"/>
      <c r="Q106" s="313"/>
      <c r="R106" s="313"/>
      <c r="S106" s="24"/>
      <c r="CD106" s="422"/>
      <c r="CE106" s="422"/>
      <c r="CF106" s="422"/>
      <c r="CG106" s="422"/>
      <c r="CH106" s="422"/>
    </row>
    <row r="107" spans="1:86" s="18" customFormat="1" ht="14.25">
      <c r="A107" s="24"/>
      <c r="B107" s="24"/>
      <c r="C107" s="278"/>
      <c r="E107" s="24"/>
      <c r="F107" s="94"/>
      <c r="G107" s="94"/>
      <c r="H107" s="24"/>
      <c r="I107" s="24"/>
      <c r="J107" s="24"/>
      <c r="K107" s="94"/>
      <c r="L107" s="24"/>
      <c r="M107" s="94"/>
      <c r="N107" s="24"/>
      <c r="O107" s="94"/>
      <c r="P107" s="313"/>
      <c r="Q107" s="313"/>
      <c r="R107" s="313"/>
      <c r="S107" s="24"/>
      <c r="CD107" s="422"/>
      <c r="CE107" s="422"/>
      <c r="CF107" s="422"/>
      <c r="CG107" s="422"/>
      <c r="CH107" s="422"/>
    </row>
    <row r="108" spans="1:86" s="18" customFormat="1" ht="14.25">
      <c r="A108" s="24"/>
      <c r="B108" s="24"/>
      <c r="C108" s="278"/>
      <c r="E108" s="24"/>
      <c r="F108" s="94"/>
      <c r="G108" s="94"/>
      <c r="H108" s="24"/>
      <c r="I108" s="24"/>
      <c r="J108" s="24"/>
      <c r="K108" s="94"/>
      <c r="L108" s="24"/>
      <c r="M108" s="94"/>
      <c r="N108" s="24"/>
      <c r="O108" s="94"/>
      <c r="P108" s="313"/>
      <c r="Q108" s="313"/>
      <c r="R108" s="313"/>
      <c r="S108" s="24"/>
      <c r="CD108" s="422"/>
      <c r="CE108" s="422"/>
      <c r="CF108" s="422"/>
      <c r="CG108" s="422"/>
      <c r="CH108" s="422"/>
    </row>
    <row r="109" spans="1:86" s="18" customFormat="1" ht="14.25">
      <c r="A109" s="24"/>
      <c r="B109" s="24"/>
      <c r="C109" s="278"/>
      <c r="E109" s="24"/>
      <c r="F109" s="94"/>
      <c r="G109" s="94"/>
      <c r="H109" s="24"/>
      <c r="I109" s="24"/>
      <c r="J109" s="24"/>
      <c r="K109" s="94"/>
      <c r="L109" s="24"/>
      <c r="M109" s="94"/>
      <c r="N109" s="24"/>
      <c r="O109" s="94"/>
      <c r="P109" s="313"/>
      <c r="Q109" s="313"/>
      <c r="R109" s="313"/>
      <c r="S109" s="24"/>
      <c r="CD109" s="422"/>
      <c r="CE109" s="422"/>
      <c r="CF109" s="422"/>
      <c r="CG109" s="422"/>
      <c r="CH109" s="422"/>
    </row>
    <row r="110" spans="1:86" s="18" customFormat="1" ht="14.25">
      <c r="A110" s="24"/>
      <c r="B110" s="24"/>
      <c r="C110" s="278"/>
      <c r="E110" s="24"/>
      <c r="F110" s="94"/>
      <c r="G110" s="94"/>
      <c r="H110" s="24"/>
      <c r="I110" s="24"/>
      <c r="J110" s="24"/>
      <c r="K110" s="94"/>
      <c r="L110" s="24"/>
      <c r="M110" s="94"/>
      <c r="N110" s="24"/>
      <c r="O110" s="94"/>
      <c r="P110" s="313"/>
      <c r="Q110" s="313"/>
      <c r="R110" s="313"/>
      <c r="S110" s="24"/>
      <c r="CD110" s="422"/>
      <c r="CE110" s="422"/>
      <c r="CF110" s="422"/>
      <c r="CG110" s="422"/>
      <c r="CH110" s="422"/>
    </row>
    <row r="111" spans="1:86" s="18" customFormat="1" ht="14.25">
      <c r="A111" s="24"/>
      <c r="B111" s="24"/>
      <c r="C111" s="278"/>
      <c r="E111" s="24"/>
      <c r="F111" s="94"/>
      <c r="G111" s="94"/>
      <c r="H111" s="24"/>
      <c r="I111" s="24"/>
      <c r="J111" s="24"/>
      <c r="K111" s="94"/>
      <c r="L111" s="24"/>
      <c r="M111" s="94"/>
      <c r="N111" s="24"/>
      <c r="O111" s="94"/>
      <c r="P111" s="313"/>
      <c r="Q111" s="313"/>
      <c r="R111" s="313"/>
      <c r="S111" s="24"/>
      <c r="CD111" s="422"/>
      <c r="CE111" s="422"/>
      <c r="CF111" s="422"/>
      <c r="CG111" s="422"/>
      <c r="CH111" s="422"/>
    </row>
    <row r="112" spans="1:86" s="18" customFormat="1" ht="14.25">
      <c r="A112" s="24"/>
      <c r="B112" s="24"/>
      <c r="C112" s="278"/>
      <c r="E112" s="24"/>
      <c r="F112" s="94"/>
      <c r="G112" s="94"/>
      <c r="H112" s="24"/>
      <c r="I112" s="24"/>
      <c r="J112" s="24"/>
      <c r="K112" s="94"/>
      <c r="L112" s="24"/>
      <c r="M112" s="94"/>
      <c r="N112" s="24"/>
      <c r="O112" s="94"/>
      <c r="P112" s="313"/>
      <c r="Q112" s="313"/>
      <c r="R112" s="313"/>
      <c r="S112" s="24"/>
      <c r="CD112" s="422"/>
      <c r="CE112" s="422"/>
      <c r="CF112" s="422"/>
      <c r="CG112" s="422"/>
      <c r="CH112" s="422"/>
    </row>
    <row r="113" spans="1:86" s="18" customFormat="1" ht="14.25">
      <c r="A113" s="24"/>
      <c r="B113" s="24"/>
      <c r="C113" s="278"/>
      <c r="E113" s="24"/>
      <c r="F113" s="94"/>
      <c r="G113" s="94"/>
      <c r="H113" s="24"/>
      <c r="I113" s="24"/>
      <c r="J113" s="24"/>
      <c r="K113" s="94"/>
      <c r="L113" s="24"/>
      <c r="M113" s="94"/>
      <c r="N113" s="24"/>
      <c r="O113" s="94"/>
      <c r="P113" s="313"/>
      <c r="Q113" s="313"/>
      <c r="R113" s="313"/>
      <c r="S113" s="24"/>
      <c r="CD113" s="422"/>
      <c r="CE113" s="422"/>
      <c r="CF113" s="422"/>
      <c r="CG113" s="422"/>
      <c r="CH113" s="422"/>
    </row>
    <row r="114" spans="1:86" s="18" customFormat="1" ht="14.25">
      <c r="A114" s="24"/>
      <c r="B114" s="24"/>
      <c r="C114" s="278"/>
      <c r="E114" s="24"/>
      <c r="F114" s="94"/>
      <c r="G114" s="94"/>
      <c r="H114" s="24"/>
      <c r="I114" s="24"/>
      <c r="J114" s="24"/>
      <c r="K114" s="94"/>
      <c r="L114" s="24"/>
      <c r="M114" s="94"/>
      <c r="N114" s="24"/>
      <c r="O114" s="94"/>
      <c r="P114" s="313"/>
      <c r="Q114" s="313"/>
      <c r="R114" s="313"/>
      <c r="S114" s="24"/>
      <c r="CD114" s="422"/>
      <c r="CE114" s="422"/>
      <c r="CF114" s="422"/>
      <c r="CG114" s="422"/>
      <c r="CH114" s="422"/>
    </row>
    <row r="115" spans="1:86" s="18" customFormat="1" ht="14.25">
      <c r="A115" s="24"/>
      <c r="B115" s="24"/>
      <c r="C115" s="278"/>
      <c r="E115" s="24"/>
      <c r="F115" s="94"/>
      <c r="G115" s="94"/>
      <c r="H115" s="24"/>
      <c r="I115" s="24"/>
      <c r="J115" s="24"/>
      <c r="K115" s="94"/>
      <c r="L115" s="24"/>
      <c r="M115" s="94"/>
      <c r="N115" s="24"/>
      <c r="O115" s="94"/>
      <c r="P115" s="313"/>
      <c r="Q115" s="313"/>
      <c r="R115" s="313"/>
      <c r="S115" s="24"/>
      <c r="CD115" s="422"/>
      <c r="CE115" s="422"/>
      <c r="CF115" s="422"/>
      <c r="CG115" s="422"/>
      <c r="CH115" s="422"/>
    </row>
    <row r="116" spans="1:86" s="18" customFormat="1" ht="14.25">
      <c r="A116" s="24"/>
      <c r="B116" s="24"/>
      <c r="C116" s="278"/>
      <c r="E116" s="24"/>
      <c r="F116" s="94"/>
      <c r="G116" s="94"/>
      <c r="H116" s="24"/>
      <c r="I116" s="24"/>
      <c r="J116" s="24"/>
      <c r="K116" s="94"/>
      <c r="L116" s="24"/>
      <c r="M116" s="94"/>
      <c r="N116" s="24"/>
      <c r="O116" s="94"/>
      <c r="P116" s="313"/>
      <c r="Q116" s="313"/>
      <c r="R116" s="313"/>
      <c r="S116" s="24"/>
      <c r="CD116" s="422"/>
      <c r="CE116" s="422"/>
      <c r="CF116" s="422"/>
      <c r="CG116" s="422"/>
      <c r="CH116" s="422"/>
    </row>
    <row r="117" spans="1:86" s="18" customFormat="1" ht="14.25">
      <c r="A117" s="24"/>
      <c r="B117" s="24"/>
      <c r="C117" s="278"/>
      <c r="E117" s="24"/>
      <c r="F117" s="94"/>
      <c r="G117" s="94"/>
      <c r="H117" s="24"/>
      <c r="I117" s="24"/>
      <c r="J117" s="24"/>
      <c r="K117" s="94"/>
      <c r="L117" s="24"/>
      <c r="M117" s="94"/>
      <c r="N117" s="24"/>
      <c r="O117" s="94"/>
      <c r="P117" s="313"/>
      <c r="Q117" s="313"/>
      <c r="R117" s="313"/>
      <c r="S117" s="24"/>
      <c r="CD117" s="422"/>
      <c r="CE117" s="422"/>
      <c r="CF117" s="422"/>
      <c r="CG117" s="422"/>
      <c r="CH117" s="422"/>
    </row>
    <row r="118" spans="1:86" s="18" customFormat="1" ht="14.25">
      <c r="A118" s="24"/>
      <c r="B118" s="24"/>
      <c r="C118" s="278"/>
      <c r="E118" s="24"/>
      <c r="F118" s="94"/>
      <c r="G118" s="94"/>
      <c r="H118" s="24"/>
      <c r="I118" s="24"/>
      <c r="J118" s="24"/>
      <c r="K118" s="94"/>
      <c r="L118" s="24"/>
      <c r="M118" s="94"/>
      <c r="N118" s="24"/>
      <c r="O118" s="94"/>
      <c r="P118" s="313"/>
      <c r="Q118" s="313"/>
      <c r="R118" s="313"/>
      <c r="S118" s="24"/>
      <c r="CD118" s="422"/>
      <c r="CE118" s="422"/>
      <c r="CF118" s="422"/>
      <c r="CG118" s="422"/>
      <c r="CH118" s="422"/>
    </row>
    <row r="119" spans="1:86" s="18" customFormat="1" ht="14.25">
      <c r="A119" s="24"/>
      <c r="B119" s="24"/>
      <c r="C119" s="278"/>
      <c r="E119" s="24"/>
      <c r="F119" s="94"/>
      <c r="G119" s="94"/>
      <c r="H119" s="24"/>
      <c r="I119" s="24"/>
      <c r="J119" s="24"/>
      <c r="K119" s="94"/>
      <c r="L119" s="24"/>
      <c r="M119" s="94"/>
      <c r="N119" s="24"/>
      <c r="O119" s="94"/>
      <c r="P119" s="313"/>
      <c r="Q119" s="313"/>
      <c r="R119" s="313"/>
      <c r="S119" s="24"/>
      <c r="CD119" s="422"/>
      <c r="CE119" s="422"/>
      <c r="CF119" s="422"/>
      <c r="CG119" s="422"/>
      <c r="CH119" s="422"/>
    </row>
    <row r="120" spans="1:86" s="18" customFormat="1" ht="14.25">
      <c r="A120" s="24"/>
      <c r="B120" s="24"/>
      <c r="C120" s="278"/>
      <c r="E120" s="24"/>
      <c r="F120" s="94"/>
      <c r="G120" s="94"/>
      <c r="H120" s="24"/>
      <c r="I120" s="24"/>
      <c r="J120" s="24"/>
      <c r="K120" s="94"/>
      <c r="L120" s="24"/>
      <c r="M120" s="94"/>
      <c r="N120" s="24"/>
      <c r="O120" s="94"/>
      <c r="P120" s="313"/>
      <c r="Q120" s="313"/>
      <c r="R120" s="313"/>
      <c r="S120" s="24"/>
      <c r="CD120" s="422"/>
      <c r="CE120" s="422"/>
      <c r="CF120" s="422"/>
      <c r="CG120" s="422"/>
      <c r="CH120" s="422"/>
    </row>
    <row r="121" spans="1:86" s="18" customFormat="1" ht="14.25">
      <c r="A121" s="24"/>
      <c r="B121" s="24"/>
      <c r="C121" s="278"/>
      <c r="E121" s="24"/>
      <c r="F121" s="94"/>
      <c r="G121" s="94"/>
      <c r="H121" s="24"/>
      <c r="I121" s="24"/>
      <c r="J121" s="24"/>
      <c r="K121" s="94"/>
      <c r="L121" s="24"/>
      <c r="M121" s="94"/>
      <c r="N121" s="24"/>
      <c r="O121" s="94"/>
      <c r="P121" s="313"/>
      <c r="Q121" s="313"/>
      <c r="R121" s="313"/>
      <c r="S121" s="24"/>
      <c r="CD121" s="422"/>
      <c r="CE121" s="422"/>
      <c r="CF121" s="422"/>
      <c r="CG121" s="422"/>
      <c r="CH121" s="422"/>
    </row>
    <row r="122" spans="1:86" s="18" customFormat="1" ht="14.25">
      <c r="A122" s="24"/>
      <c r="B122" s="24"/>
      <c r="C122" s="278"/>
      <c r="E122" s="24"/>
      <c r="F122" s="94"/>
      <c r="G122" s="94"/>
      <c r="H122" s="24"/>
      <c r="I122" s="24"/>
      <c r="J122" s="24"/>
      <c r="K122" s="94"/>
      <c r="L122" s="24"/>
      <c r="M122" s="94"/>
      <c r="N122" s="24"/>
      <c r="O122" s="94"/>
      <c r="P122" s="313"/>
      <c r="Q122" s="313"/>
      <c r="R122" s="313"/>
      <c r="S122" s="24"/>
      <c r="CD122" s="422"/>
      <c r="CE122" s="422"/>
      <c r="CF122" s="422"/>
      <c r="CG122" s="422"/>
      <c r="CH122" s="422"/>
    </row>
    <row r="123" spans="1:86" s="18" customFormat="1" ht="14.25">
      <c r="A123" s="24"/>
      <c r="B123" s="24"/>
      <c r="C123" s="278"/>
      <c r="E123" s="24"/>
      <c r="F123" s="94"/>
      <c r="G123" s="94"/>
      <c r="H123" s="24"/>
      <c r="I123" s="24"/>
      <c r="J123" s="24"/>
      <c r="K123" s="94"/>
      <c r="L123" s="24"/>
      <c r="M123" s="94"/>
      <c r="N123" s="24"/>
      <c r="O123" s="94"/>
      <c r="P123" s="313"/>
      <c r="Q123" s="313"/>
      <c r="R123" s="313"/>
      <c r="S123" s="24"/>
      <c r="CD123" s="422"/>
      <c r="CE123" s="422"/>
      <c r="CF123" s="422"/>
      <c r="CG123" s="422"/>
      <c r="CH123" s="422"/>
    </row>
    <row r="124" spans="1:86" s="18" customFormat="1" ht="14.25">
      <c r="A124" s="24"/>
      <c r="B124" s="24"/>
      <c r="C124" s="278"/>
      <c r="E124" s="24"/>
      <c r="F124" s="94"/>
      <c r="G124" s="94"/>
      <c r="H124" s="24"/>
      <c r="I124" s="24"/>
      <c r="J124" s="24"/>
      <c r="K124" s="94"/>
      <c r="L124" s="24"/>
      <c r="M124" s="94"/>
      <c r="N124" s="24"/>
      <c r="O124" s="94"/>
      <c r="P124" s="313"/>
      <c r="Q124" s="313"/>
      <c r="R124" s="313"/>
      <c r="S124" s="24"/>
      <c r="CD124" s="422"/>
      <c r="CE124" s="422"/>
      <c r="CF124" s="422"/>
      <c r="CG124" s="422"/>
      <c r="CH124" s="422"/>
    </row>
    <row r="125" spans="1:86" s="18" customFormat="1" ht="14.25">
      <c r="A125" s="24"/>
      <c r="B125" s="24"/>
      <c r="C125" s="278"/>
      <c r="E125" s="24"/>
      <c r="F125" s="94"/>
      <c r="G125" s="94"/>
      <c r="H125" s="24"/>
      <c r="I125" s="24"/>
      <c r="J125" s="24"/>
      <c r="K125" s="94"/>
      <c r="L125" s="24"/>
      <c r="M125" s="94"/>
      <c r="N125" s="24"/>
      <c r="O125" s="94"/>
      <c r="P125" s="313"/>
      <c r="Q125" s="313"/>
      <c r="R125" s="313"/>
      <c r="S125" s="24"/>
      <c r="CD125" s="422"/>
      <c r="CE125" s="422"/>
      <c r="CF125" s="422"/>
      <c r="CG125" s="422"/>
      <c r="CH125" s="422"/>
    </row>
    <row r="126" spans="1:86" s="18" customFormat="1" ht="14.25">
      <c r="A126" s="24"/>
      <c r="B126" s="24"/>
      <c r="C126" s="278"/>
      <c r="E126" s="24"/>
      <c r="F126" s="94"/>
      <c r="G126" s="94"/>
      <c r="H126" s="24"/>
      <c r="I126" s="24"/>
      <c r="J126" s="24"/>
      <c r="K126" s="94"/>
      <c r="L126" s="24"/>
      <c r="M126" s="94"/>
      <c r="N126" s="24"/>
      <c r="O126" s="94"/>
      <c r="P126" s="313"/>
      <c r="Q126" s="313"/>
      <c r="R126" s="313"/>
      <c r="S126" s="24"/>
      <c r="CD126" s="422"/>
      <c r="CE126" s="422"/>
      <c r="CF126" s="422"/>
      <c r="CG126" s="422"/>
      <c r="CH126" s="422"/>
    </row>
    <row r="127" spans="1:86" s="18" customFormat="1" ht="14.25">
      <c r="A127" s="24"/>
      <c r="B127" s="24"/>
      <c r="C127" s="278"/>
      <c r="E127" s="24"/>
      <c r="F127" s="94"/>
      <c r="G127" s="94"/>
      <c r="H127" s="24"/>
      <c r="I127" s="24"/>
      <c r="J127" s="24"/>
      <c r="K127" s="94"/>
      <c r="L127" s="24"/>
      <c r="M127" s="94"/>
      <c r="N127" s="24"/>
      <c r="O127" s="94"/>
      <c r="P127" s="313"/>
      <c r="Q127" s="313"/>
      <c r="R127" s="313"/>
      <c r="S127" s="24"/>
      <c r="CD127" s="422"/>
      <c r="CE127" s="422"/>
      <c r="CF127" s="422"/>
      <c r="CG127" s="422"/>
      <c r="CH127" s="422"/>
    </row>
    <row r="128" spans="1:86" s="18" customFormat="1" ht="14.25">
      <c r="A128" s="24"/>
      <c r="B128" s="24"/>
      <c r="C128" s="278"/>
      <c r="E128" s="24"/>
      <c r="F128" s="94"/>
      <c r="G128" s="94"/>
      <c r="H128" s="24"/>
      <c r="I128" s="24"/>
      <c r="J128" s="24"/>
      <c r="K128" s="94"/>
      <c r="L128" s="24"/>
      <c r="M128" s="94"/>
      <c r="N128" s="24"/>
      <c r="O128" s="94"/>
      <c r="P128" s="313"/>
      <c r="Q128" s="313"/>
      <c r="R128" s="313"/>
      <c r="S128" s="24"/>
      <c r="CD128" s="422"/>
      <c r="CE128" s="422"/>
      <c r="CF128" s="422"/>
      <c r="CG128" s="422"/>
      <c r="CH128" s="422"/>
    </row>
    <row r="129" spans="1:86" s="18" customFormat="1" ht="14.25">
      <c r="A129" s="24"/>
      <c r="B129" s="24"/>
      <c r="C129" s="278"/>
      <c r="E129" s="24"/>
      <c r="F129" s="94"/>
      <c r="G129" s="94"/>
      <c r="H129" s="24"/>
      <c r="I129" s="24"/>
      <c r="J129" s="24"/>
      <c r="K129" s="94"/>
      <c r="L129" s="24"/>
      <c r="M129" s="94"/>
      <c r="N129" s="24"/>
      <c r="O129" s="94"/>
      <c r="P129" s="313"/>
      <c r="Q129" s="313"/>
      <c r="R129" s="313"/>
      <c r="S129" s="24"/>
      <c r="CD129" s="422"/>
      <c r="CE129" s="422"/>
      <c r="CF129" s="422"/>
      <c r="CG129" s="422"/>
      <c r="CH129" s="422"/>
    </row>
    <row r="130" spans="1:86" s="18" customFormat="1" ht="14.25">
      <c r="A130" s="24"/>
      <c r="B130" s="24"/>
      <c r="C130" s="278"/>
      <c r="E130" s="24"/>
      <c r="F130" s="94"/>
      <c r="G130" s="94"/>
      <c r="H130" s="24"/>
      <c r="I130" s="24"/>
      <c r="J130" s="24"/>
      <c r="K130" s="94"/>
      <c r="L130" s="24"/>
      <c r="M130" s="94"/>
      <c r="N130" s="24"/>
      <c r="O130" s="94"/>
      <c r="P130" s="313"/>
      <c r="Q130" s="313"/>
      <c r="R130" s="313"/>
      <c r="S130" s="24"/>
      <c r="CD130" s="422"/>
      <c r="CE130" s="422"/>
      <c r="CF130" s="422"/>
      <c r="CG130" s="422"/>
      <c r="CH130" s="422"/>
    </row>
    <row r="131" spans="1:86" s="18" customFormat="1" ht="14.25">
      <c r="A131" s="24"/>
      <c r="B131" s="24"/>
      <c r="C131" s="278"/>
      <c r="E131" s="24"/>
      <c r="F131" s="94"/>
      <c r="G131" s="94"/>
      <c r="H131" s="24"/>
      <c r="I131" s="24"/>
      <c r="J131" s="24"/>
      <c r="K131" s="94"/>
      <c r="L131" s="24"/>
      <c r="M131" s="94"/>
      <c r="N131" s="24"/>
      <c r="O131" s="94"/>
      <c r="P131" s="313"/>
      <c r="Q131" s="313"/>
      <c r="R131" s="313"/>
      <c r="S131" s="24"/>
      <c r="CD131" s="422"/>
      <c r="CE131" s="422"/>
      <c r="CF131" s="422"/>
      <c r="CG131" s="422"/>
      <c r="CH131" s="422"/>
    </row>
    <row r="132" spans="1:86" s="18" customFormat="1" ht="14.25">
      <c r="A132" s="24"/>
      <c r="B132" s="24"/>
      <c r="C132" s="278"/>
      <c r="E132" s="24"/>
      <c r="F132" s="94"/>
      <c r="G132" s="94"/>
      <c r="H132" s="24"/>
      <c r="I132" s="24"/>
      <c r="J132" s="24"/>
      <c r="K132" s="94"/>
      <c r="L132" s="24"/>
      <c r="M132" s="94"/>
      <c r="N132" s="24"/>
      <c r="O132" s="94"/>
      <c r="P132" s="313"/>
      <c r="Q132" s="313"/>
      <c r="R132" s="313"/>
      <c r="S132" s="24"/>
      <c r="CD132" s="422"/>
      <c r="CE132" s="422"/>
      <c r="CF132" s="422"/>
      <c r="CG132" s="422"/>
      <c r="CH132" s="422"/>
    </row>
    <row r="133" spans="1:86" s="18" customFormat="1" ht="14.25">
      <c r="A133" s="24"/>
      <c r="B133" s="24"/>
      <c r="C133" s="278"/>
      <c r="E133" s="24"/>
      <c r="F133" s="94"/>
      <c r="G133" s="94"/>
      <c r="H133" s="24"/>
      <c r="I133" s="24"/>
      <c r="J133" s="24"/>
      <c r="K133" s="94"/>
      <c r="L133" s="24"/>
      <c r="M133" s="94"/>
      <c r="N133" s="24"/>
      <c r="O133" s="94"/>
      <c r="P133" s="313"/>
      <c r="Q133" s="313"/>
      <c r="R133" s="313"/>
      <c r="S133" s="24"/>
      <c r="CD133" s="422"/>
      <c r="CE133" s="422"/>
      <c r="CF133" s="422"/>
      <c r="CG133" s="422"/>
      <c r="CH133" s="422"/>
    </row>
    <row r="134" spans="1:86" s="18" customFormat="1" ht="14.25">
      <c r="A134" s="24"/>
      <c r="B134" s="24"/>
      <c r="C134" s="278"/>
      <c r="E134" s="24"/>
      <c r="F134" s="94"/>
      <c r="G134" s="94"/>
      <c r="H134" s="24"/>
      <c r="I134" s="24"/>
      <c r="J134" s="24"/>
      <c r="K134" s="94"/>
      <c r="L134" s="24"/>
      <c r="M134" s="94"/>
      <c r="N134" s="24"/>
      <c r="O134" s="94"/>
      <c r="P134" s="313"/>
      <c r="Q134" s="313"/>
      <c r="R134" s="313"/>
      <c r="S134" s="24"/>
      <c r="CD134" s="422"/>
      <c r="CE134" s="422"/>
      <c r="CF134" s="422"/>
      <c r="CG134" s="422"/>
      <c r="CH134" s="422"/>
    </row>
    <row r="135" spans="1:86" s="18" customFormat="1" ht="14.25">
      <c r="A135" s="24"/>
      <c r="B135" s="24"/>
      <c r="C135" s="278"/>
      <c r="E135" s="24"/>
      <c r="F135" s="94"/>
      <c r="G135" s="94"/>
      <c r="H135" s="24"/>
      <c r="I135" s="24"/>
      <c r="J135" s="24"/>
      <c r="K135" s="94"/>
      <c r="L135" s="24"/>
      <c r="M135" s="94"/>
      <c r="N135" s="24"/>
      <c r="O135" s="94"/>
      <c r="P135" s="313"/>
      <c r="Q135" s="313"/>
      <c r="R135" s="313"/>
      <c r="S135" s="24"/>
      <c r="CD135" s="422"/>
      <c r="CE135" s="422"/>
      <c r="CF135" s="422"/>
      <c r="CG135" s="422"/>
      <c r="CH135" s="422"/>
    </row>
    <row r="136" spans="1:86" s="18" customFormat="1" ht="14.25">
      <c r="A136" s="24"/>
      <c r="B136" s="24"/>
      <c r="C136" s="278"/>
      <c r="E136" s="24"/>
      <c r="F136" s="94"/>
      <c r="G136" s="94"/>
      <c r="H136" s="24"/>
      <c r="I136" s="24"/>
      <c r="J136" s="24"/>
      <c r="K136" s="94"/>
      <c r="L136" s="24"/>
      <c r="M136" s="94"/>
      <c r="N136" s="24"/>
      <c r="O136" s="94"/>
      <c r="P136" s="313"/>
      <c r="Q136" s="313"/>
      <c r="R136" s="313"/>
      <c r="S136" s="24"/>
      <c r="CD136" s="422"/>
      <c r="CE136" s="422"/>
      <c r="CF136" s="422"/>
      <c r="CG136" s="422"/>
      <c r="CH136" s="422"/>
    </row>
    <row r="137" spans="1:86" s="18" customFormat="1" ht="14.25">
      <c r="A137" s="24"/>
      <c r="B137" s="24"/>
      <c r="C137" s="278"/>
      <c r="E137" s="24"/>
      <c r="F137" s="94"/>
      <c r="G137" s="94"/>
      <c r="H137" s="24"/>
      <c r="I137" s="24"/>
      <c r="J137" s="24"/>
      <c r="K137" s="94"/>
      <c r="L137" s="24"/>
      <c r="M137" s="94"/>
      <c r="N137" s="24"/>
      <c r="O137" s="94"/>
      <c r="P137" s="313"/>
      <c r="Q137" s="313"/>
      <c r="R137" s="313"/>
      <c r="S137" s="24"/>
      <c r="CD137" s="422"/>
      <c r="CE137" s="422"/>
      <c r="CF137" s="422"/>
      <c r="CG137" s="422"/>
      <c r="CH137" s="422"/>
    </row>
    <row r="138" spans="1:86" s="18" customFormat="1" ht="14.25">
      <c r="A138" s="24"/>
      <c r="B138" s="24"/>
      <c r="C138" s="278"/>
      <c r="E138" s="24"/>
      <c r="F138" s="94"/>
      <c r="G138" s="94"/>
      <c r="H138" s="24"/>
      <c r="I138" s="24"/>
      <c r="J138" s="24"/>
      <c r="K138" s="94"/>
      <c r="L138" s="24"/>
      <c r="M138" s="94"/>
      <c r="N138" s="24"/>
      <c r="O138" s="94"/>
      <c r="P138" s="313"/>
      <c r="Q138" s="313"/>
      <c r="R138" s="313"/>
      <c r="S138" s="24"/>
      <c r="CD138" s="422"/>
      <c r="CE138" s="422"/>
      <c r="CF138" s="422"/>
      <c r="CG138" s="422"/>
      <c r="CH138" s="422"/>
    </row>
    <row r="139" spans="1:86" s="18" customFormat="1" ht="14.25">
      <c r="A139" s="24"/>
      <c r="B139" s="24"/>
      <c r="C139" s="278"/>
      <c r="E139" s="24"/>
      <c r="F139" s="94"/>
      <c r="G139" s="94"/>
      <c r="H139" s="24"/>
      <c r="I139" s="24"/>
      <c r="J139" s="24"/>
      <c r="K139" s="94"/>
      <c r="L139" s="24"/>
      <c r="M139" s="94"/>
      <c r="N139" s="24"/>
      <c r="O139" s="94"/>
      <c r="P139" s="313"/>
      <c r="Q139" s="313"/>
      <c r="R139" s="313"/>
      <c r="S139" s="24"/>
      <c r="CD139" s="422"/>
      <c r="CE139" s="422"/>
      <c r="CF139" s="422"/>
      <c r="CG139" s="422"/>
      <c r="CH139" s="422"/>
    </row>
    <row r="140" spans="1:86" s="18" customFormat="1" ht="14.25">
      <c r="A140" s="24"/>
      <c r="B140" s="24"/>
      <c r="C140" s="278"/>
      <c r="E140" s="24"/>
      <c r="F140" s="94"/>
      <c r="G140" s="94"/>
      <c r="H140" s="24"/>
      <c r="I140" s="24"/>
      <c r="J140" s="24"/>
      <c r="K140" s="94"/>
      <c r="L140" s="24"/>
      <c r="M140" s="94"/>
      <c r="N140" s="24"/>
      <c r="O140" s="94"/>
      <c r="P140" s="313"/>
      <c r="Q140" s="313"/>
      <c r="R140" s="313"/>
      <c r="S140" s="24"/>
      <c r="CD140" s="422"/>
      <c r="CE140" s="422"/>
      <c r="CF140" s="422"/>
      <c r="CG140" s="422"/>
      <c r="CH140" s="422"/>
    </row>
    <row r="141" spans="1:86" s="18" customFormat="1" ht="14.25">
      <c r="A141" s="24"/>
      <c r="B141" s="24"/>
      <c r="C141" s="278"/>
      <c r="E141" s="24"/>
      <c r="F141" s="94"/>
      <c r="G141" s="94"/>
      <c r="H141" s="24"/>
      <c r="I141" s="24"/>
      <c r="J141" s="24"/>
      <c r="K141" s="94"/>
      <c r="L141" s="24"/>
      <c r="M141" s="94"/>
      <c r="N141" s="24"/>
      <c r="O141" s="94"/>
      <c r="P141" s="313"/>
      <c r="Q141" s="313"/>
      <c r="R141" s="313"/>
      <c r="S141" s="24"/>
      <c r="CD141" s="422"/>
      <c r="CE141" s="422"/>
      <c r="CF141" s="422"/>
      <c r="CG141" s="422"/>
      <c r="CH141" s="422"/>
    </row>
    <row r="142" spans="1:86" s="18" customFormat="1" ht="14.25">
      <c r="A142" s="24"/>
      <c r="B142" s="24"/>
      <c r="C142" s="278"/>
      <c r="E142" s="24"/>
      <c r="F142" s="94"/>
      <c r="G142" s="94"/>
      <c r="H142" s="24"/>
      <c r="I142" s="24"/>
      <c r="J142" s="24"/>
      <c r="K142" s="94"/>
      <c r="L142" s="24"/>
      <c r="M142" s="94"/>
      <c r="N142" s="24"/>
      <c r="O142" s="94"/>
      <c r="P142" s="313"/>
      <c r="Q142" s="313"/>
      <c r="R142" s="313"/>
      <c r="S142" s="24"/>
      <c r="CD142" s="422"/>
      <c r="CE142" s="422"/>
      <c r="CF142" s="422"/>
      <c r="CG142" s="422"/>
      <c r="CH142" s="422"/>
    </row>
    <row r="143" spans="1:86" s="18" customFormat="1" ht="14.25">
      <c r="A143" s="24"/>
      <c r="B143" s="24"/>
      <c r="C143" s="278"/>
      <c r="E143" s="24"/>
      <c r="F143" s="94"/>
      <c r="G143" s="94"/>
      <c r="H143" s="24"/>
      <c r="I143" s="24"/>
      <c r="J143" s="24"/>
      <c r="K143" s="94"/>
      <c r="L143" s="24"/>
      <c r="M143" s="94"/>
      <c r="N143" s="24"/>
      <c r="O143" s="94"/>
      <c r="P143" s="313"/>
      <c r="Q143" s="313"/>
      <c r="R143" s="313"/>
      <c r="S143" s="24"/>
      <c r="CD143" s="422"/>
      <c r="CE143" s="422"/>
      <c r="CF143" s="422"/>
      <c r="CG143" s="422"/>
      <c r="CH143" s="422"/>
    </row>
    <row r="144" spans="1:86" s="18" customFormat="1" ht="14.25">
      <c r="A144" s="24"/>
      <c r="B144" s="24"/>
      <c r="C144" s="278"/>
      <c r="E144" s="24"/>
      <c r="F144" s="94"/>
      <c r="G144" s="94"/>
      <c r="H144" s="24"/>
      <c r="I144" s="24"/>
      <c r="J144" s="24"/>
      <c r="K144" s="94"/>
      <c r="L144" s="24"/>
      <c r="M144" s="94"/>
      <c r="N144" s="24"/>
      <c r="O144" s="94"/>
      <c r="P144" s="313"/>
      <c r="Q144" s="313"/>
      <c r="R144" s="313"/>
      <c r="S144" s="24"/>
      <c r="CD144" s="422"/>
      <c r="CE144" s="422"/>
      <c r="CF144" s="422"/>
      <c r="CG144" s="422"/>
      <c r="CH144" s="422"/>
    </row>
    <row r="145" spans="1:86" s="18" customFormat="1" ht="14.25">
      <c r="A145" s="24"/>
      <c r="B145" s="24"/>
      <c r="C145" s="278"/>
      <c r="E145" s="24"/>
      <c r="F145" s="94"/>
      <c r="G145" s="94"/>
      <c r="H145" s="24"/>
      <c r="I145" s="24"/>
      <c r="J145" s="24"/>
      <c r="K145" s="94"/>
      <c r="L145" s="24"/>
      <c r="M145" s="94"/>
      <c r="N145" s="24"/>
      <c r="O145" s="94"/>
      <c r="P145" s="313"/>
      <c r="Q145" s="313"/>
      <c r="R145" s="313"/>
      <c r="S145" s="24"/>
      <c r="CD145" s="422"/>
      <c r="CE145" s="422"/>
      <c r="CF145" s="422"/>
      <c r="CG145" s="422"/>
      <c r="CH145" s="422"/>
    </row>
    <row r="146" spans="1:86" s="18" customFormat="1" ht="14.25">
      <c r="A146" s="24"/>
      <c r="B146" s="24"/>
      <c r="C146" s="278"/>
      <c r="E146" s="24"/>
      <c r="F146" s="94"/>
      <c r="G146" s="94"/>
      <c r="H146" s="24"/>
      <c r="I146" s="24"/>
      <c r="J146" s="24"/>
      <c r="K146" s="94"/>
      <c r="L146" s="24"/>
      <c r="M146" s="94"/>
      <c r="N146" s="24"/>
      <c r="O146" s="94"/>
      <c r="P146" s="313"/>
      <c r="Q146" s="313"/>
      <c r="R146" s="313"/>
      <c r="S146" s="24"/>
      <c r="CD146" s="422"/>
      <c r="CE146" s="422"/>
      <c r="CF146" s="422"/>
      <c r="CG146" s="422"/>
      <c r="CH146" s="422"/>
    </row>
    <row r="147" spans="1:86" s="18" customFormat="1" ht="14.25">
      <c r="A147" s="24"/>
      <c r="B147" s="24"/>
      <c r="C147" s="278"/>
      <c r="E147" s="24"/>
      <c r="F147" s="94"/>
      <c r="G147" s="94"/>
      <c r="H147" s="24"/>
      <c r="I147" s="24"/>
      <c r="J147" s="24"/>
      <c r="K147" s="94"/>
      <c r="L147" s="24"/>
      <c r="M147" s="94"/>
      <c r="N147" s="24"/>
      <c r="O147" s="94"/>
      <c r="P147" s="313"/>
      <c r="Q147" s="313"/>
      <c r="R147" s="313"/>
      <c r="S147" s="24"/>
      <c r="CD147" s="422"/>
      <c r="CE147" s="422"/>
      <c r="CF147" s="422"/>
      <c r="CG147" s="422"/>
      <c r="CH147" s="422"/>
    </row>
    <row r="148" spans="1:86" s="18" customFormat="1" ht="14.25">
      <c r="A148" s="24"/>
      <c r="B148" s="24"/>
      <c r="C148" s="278"/>
      <c r="E148" s="24"/>
      <c r="F148" s="94"/>
      <c r="G148" s="94"/>
      <c r="H148" s="24"/>
      <c r="I148" s="24"/>
      <c r="J148" s="24"/>
      <c r="K148" s="94"/>
      <c r="L148" s="24"/>
      <c r="M148" s="94"/>
      <c r="N148" s="24"/>
      <c r="O148" s="94"/>
      <c r="P148" s="313"/>
      <c r="Q148" s="313"/>
      <c r="R148" s="313"/>
      <c r="S148" s="24"/>
      <c r="CD148" s="422"/>
      <c r="CE148" s="422"/>
      <c r="CF148" s="422"/>
      <c r="CG148" s="422"/>
      <c r="CH148" s="422"/>
    </row>
    <row r="149" spans="1:86" s="18" customFormat="1" ht="14.25">
      <c r="A149" s="24"/>
      <c r="B149" s="24"/>
      <c r="C149" s="278"/>
      <c r="E149" s="24"/>
      <c r="F149" s="94"/>
      <c r="G149" s="94"/>
      <c r="H149" s="24"/>
      <c r="I149" s="24"/>
      <c r="J149" s="24"/>
      <c r="K149" s="94"/>
      <c r="L149" s="24"/>
      <c r="M149" s="94"/>
      <c r="N149" s="24"/>
      <c r="O149" s="94"/>
      <c r="P149" s="313"/>
      <c r="Q149" s="313"/>
      <c r="R149" s="313"/>
      <c r="S149" s="24"/>
      <c r="CD149" s="422"/>
      <c r="CE149" s="422"/>
      <c r="CF149" s="422"/>
      <c r="CG149" s="422"/>
      <c r="CH149" s="422"/>
    </row>
    <row r="150" spans="1:86" s="18" customFormat="1" ht="14.25">
      <c r="A150" s="24"/>
      <c r="B150" s="24"/>
      <c r="C150" s="278"/>
      <c r="E150" s="24"/>
      <c r="F150" s="94"/>
      <c r="G150" s="94"/>
      <c r="H150" s="24"/>
      <c r="I150" s="24"/>
      <c r="J150" s="24"/>
      <c r="K150" s="94"/>
      <c r="L150" s="24"/>
      <c r="M150" s="94"/>
      <c r="N150" s="24"/>
      <c r="O150" s="94"/>
      <c r="P150" s="313"/>
      <c r="Q150" s="313"/>
      <c r="R150" s="313"/>
      <c r="S150" s="24"/>
      <c r="CD150" s="422"/>
      <c r="CE150" s="422"/>
      <c r="CF150" s="422"/>
      <c r="CG150" s="422"/>
      <c r="CH150" s="422"/>
    </row>
    <row r="151" spans="1:86" s="18" customFormat="1" ht="14.25">
      <c r="A151" s="24"/>
      <c r="B151" s="24"/>
      <c r="C151" s="278"/>
      <c r="E151" s="24"/>
      <c r="F151" s="94"/>
      <c r="G151" s="94"/>
      <c r="H151" s="24"/>
      <c r="I151" s="24"/>
      <c r="J151" s="24"/>
      <c r="K151" s="94"/>
      <c r="L151" s="24"/>
      <c r="M151" s="94"/>
      <c r="N151" s="24"/>
      <c r="O151" s="94"/>
      <c r="P151" s="313"/>
      <c r="Q151" s="313"/>
      <c r="R151" s="313"/>
      <c r="S151" s="24"/>
      <c r="CD151" s="422"/>
      <c r="CE151" s="422"/>
      <c r="CF151" s="422"/>
      <c r="CG151" s="422"/>
      <c r="CH151" s="422"/>
    </row>
    <row r="152" spans="1:86" s="18" customFormat="1" ht="14.25">
      <c r="A152" s="24"/>
      <c r="B152" s="24"/>
      <c r="C152" s="278"/>
      <c r="E152" s="24"/>
      <c r="F152" s="94"/>
      <c r="G152" s="94"/>
      <c r="H152" s="24"/>
      <c r="I152" s="24"/>
      <c r="J152" s="24"/>
      <c r="K152" s="94"/>
      <c r="L152" s="24"/>
      <c r="M152" s="94"/>
      <c r="N152" s="24"/>
      <c r="O152" s="94"/>
      <c r="P152" s="313"/>
      <c r="Q152" s="313"/>
      <c r="R152" s="313"/>
      <c r="S152" s="24"/>
      <c r="CD152" s="422"/>
      <c r="CE152" s="422"/>
      <c r="CF152" s="422"/>
      <c r="CG152" s="422"/>
      <c r="CH152" s="422"/>
    </row>
    <row r="153" spans="1:86" s="18" customFormat="1" ht="14.25">
      <c r="A153" s="24"/>
      <c r="B153" s="24"/>
      <c r="C153" s="278"/>
      <c r="E153" s="24"/>
      <c r="F153" s="94"/>
      <c r="G153" s="94"/>
      <c r="H153" s="24"/>
      <c r="I153" s="24"/>
      <c r="J153" s="24"/>
      <c r="K153" s="94"/>
      <c r="L153" s="24"/>
      <c r="M153" s="94"/>
      <c r="N153" s="24"/>
      <c r="O153" s="94"/>
      <c r="P153" s="313"/>
      <c r="Q153" s="313"/>
      <c r="R153" s="313"/>
      <c r="S153" s="24"/>
      <c r="CD153" s="422"/>
      <c r="CE153" s="422"/>
      <c r="CF153" s="422"/>
      <c r="CG153" s="422"/>
      <c r="CH153" s="422"/>
    </row>
    <row r="154" spans="1:86" s="18" customFormat="1" ht="14.25">
      <c r="A154" s="24"/>
      <c r="B154" s="24"/>
      <c r="C154" s="278"/>
      <c r="E154" s="24"/>
      <c r="F154" s="94"/>
      <c r="G154" s="94"/>
      <c r="H154" s="24"/>
      <c r="I154" s="24"/>
      <c r="J154" s="24"/>
      <c r="K154" s="94"/>
      <c r="L154" s="24"/>
      <c r="M154" s="94"/>
      <c r="N154" s="24"/>
      <c r="O154" s="94"/>
      <c r="P154" s="313"/>
      <c r="Q154" s="313"/>
      <c r="R154" s="313"/>
      <c r="S154" s="24"/>
      <c r="CD154" s="422"/>
      <c r="CE154" s="422"/>
      <c r="CF154" s="422"/>
      <c r="CG154" s="422"/>
      <c r="CH154" s="422"/>
    </row>
    <row r="155" spans="1:86" s="18" customFormat="1" ht="14.25">
      <c r="A155" s="24"/>
      <c r="B155" s="24"/>
      <c r="C155" s="278"/>
      <c r="E155" s="24"/>
      <c r="F155" s="94"/>
      <c r="G155" s="94"/>
      <c r="H155" s="24"/>
      <c r="I155" s="24"/>
      <c r="J155" s="24"/>
      <c r="K155" s="94"/>
      <c r="L155" s="24"/>
      <c r="M155" s="94"/>
      <c r="N155" s="24"/>
      <c r="O155" s="94"/>
      <c r="P155" s="313"/>
      <c r="Q155" s="313"/>
      <c r="R155" s="313"/>
      <c r="S155" s="24"/>
      <c r="CD155" s="422"/>
      <c r="CE155" s="422"/>
      <c r="CF155" s="422"/>
      <c r="CG155" s="422"/>
      <c r="CH155" s="422"/>
    </row>
    <row r="156" spans="1:86" s="18" customFormat="1" ht="14.25">
      <c r="A156" s="24"/>
      <c r="B156" s="24"/>
      <c r="C156" s="278"/>
      <c r="E156" s="24"/>
      <c r="F156" s="94"/>
      <c r="G156" s="94"/>
      <c r="H156" s="24"/>
      <c r="I156" s="24"/>
      <c r="J156" s="24"/>
      <c r="K156" s="94"/>
      <c r="L156" s="24"/>
      <c r="M156" s="94"/>
      <c r="N156" s="24"/>
      <c r="O156" s="94"/>
      <c r="P156" s="313"/>
      <c r="Q156" s="313"/>
      <c r="R156" s="313"/>
      <c r="S156" s="24"/>
      <c r="CD156" s="422"/>
      <c r="CE156" s="422"/>
      <c r="CF156" s="422"/>
      <c r="CG156" s="422"/>
      <c r="CH156" s="422"/>
    </row>
    <row r="157" spans="1:86" s="18" customFormat="1" ht="14.25">
      <c r="A157" s="24"/>
      <c r="B157" s="24"/>
      <c r="C157" s="278"/>
      <c r="E157" s="24"/>
      <c r="F157" s="94"/>
      <c r="G157" s="94"/>
      <c r="H157" s="24"/>
      <c r="I157" s="24"/>
      <c r="J157" s="24"/>
      <c r="K157" s="94"/>
      <c r="L157" s="24"/>
      <c r="M157" s="94"/>
      <c r="N157" s="24"/>
      <c r="O157" s="94"/>
      <c r="P157" s="313"/>
      <c r="Q157" s="313"/>
      <c r="R157" s="313"/>
      <c r="S157" s="24"/>
      <c r="CD157" s="422"/>
      <c r="CE157" s="422"/>
      <c r="CF157" s="422"/>
      <c r="CG157" s="422"/>
      <c r="CH157" s="422"/>
    </row>
    <row r="158" spans="1:86" s="18" customFormat="1" ht="14.25">
      <c r="A158" s="24"/>
      <c r="B158" s="24"/>
      <c r="C158" s="278"/>
      <c r="E158" s="24"/>
      <c r="F158" s="94"/>
      <c r="G158" s="94"/>
      <c r="H158" s="24"/>
      <c r="I158" s="24"/>
      <c r="J158" s="24"/>
      <c r="K158" s="94"/>
      <c r="L158" s="24"/>
      <c r="M158" s="94"/>
      <c r="N158" s="24"/>
      <c r="O158" s="94"/>
      <c r="P158" s="313"/>
      <c r="Q158" s="313"/>
      <c r="R158" s="313"/>
      <c r="S158" s="24"/>
      <c r="CD158" s="422"/>
      <c r="CE158" s="422"/>
      <c r="CF158" s="422"/>
      <c r="CG158" s="422"/>
      <c r="CH158" s="422"/>
    </row>
    <row r="159" spans="1:86" s="18" customFormat="1" ht="14.25">
      <c r="A159" s="24"/>
      <c r="B159" s="24"/>
      <c r="C159" s="278"/>
      <c r="E159" s="24"/>
      <c r="F159" s="94"/>
      <c r="G159" s="94"/>
      <c r="H159" s="24"/>
      <c r="I159" s="24"/>
      <c r="J159" s="24"/>
      <c r="K159" s="94"/>
      <c r="L159" s="24"/>
      <c r="M159" s="94"/>
      <c r="N159" s="24"/>
      <c r="O159" s="94"/>
      <c r="P159" s="313"/>
      <c r="Q159" s="313"/>
      <c r="R159" s="313"/>
      <c r="S159" s="24"/>
      <c r="CD159" s="422"/>
      <c r="CE159" s="422"/>
      <c r="CF159" s="422"/>
      <c r="CG159" s="422"/>
      <c r="CH159" s="422"/>
    </row>
    <row r="160" spans="1:86" s="18" customFormat="1" ht="14.25">
      <c r="A160" s="24"/>
      <c r="B160" s="24"/>
      <c r="C160" s="278"/>
      <c r="E160" s="24"/>
      <c r="F160" s="94"/>
      <c r="G160" s="94"/>
      <c r="H160" s="24"/>
      <c r="I160" s="24"/>
      <c r="J160" s="24"/>
      <c r="K160" s="94"/>
      <c r="L160" s="24"/>
      <c r="M160" s="94"/>
      <c r="N160" s="24"/>
      <c r="O160" s="94"/>
      <c r="P160" s="313"/>
      <c r="Q160" s="313"/>
      <c r="R160" s="313"/>
      <c r="S160" s="24"/>
      <c r="CD160" s="422"/>
      <c r="CE160" s="422"/>
      <c r="CF160" s="422"/>
      <c r="CG160" s="422"/>
      <c r="CH160" s="422"/>
    </row>
    <row r="161" spans="1:86" s="18" customFormat="1" ht="14.25">
      <c r="A161" s="24"/>
      <c r="B161" s="24"/>
      <c r="C161" s="278"/>
      <c r="E161" s="24"/>
      <c r="F161" s="94"/>
      <c r="G161" s="94"/>
      <c r="H161" s="24"/>
      <c r="I161" s="24"/>
      <c r="J161" s="24"/>
      <c r="K161" s="94"/>
      <c r="L161" s="24"/>
      <c r="M161" s="94"/>
      <c r="N161" s="24"/>
      <c r="O161" s="94"/>
      <c r="P161" s="313"/>
      <c r="Q161" s="313"/>
      <c r="R161" s="313"/>
      <c r="S161" s="24"/>
      <c r="CD161" s="422"/>
      <c r="CE161" s="422"/>
      <c r="CF161" s="422"/>
      <c r="CG161" s="422"/>
      <c r="CH161" s="422"/>
    </row>
    <row r="162" spans="1:86" s="18" customFormat="1" ht="14.25">
      <c r="A162" s="24"/>
      <c r="B162" s="24"/>
      <c r="C162" s="278"/>
      <c r="E162" s="24"/>
      <c r="F162" s="94"/>
      <c r="G162" s="94"/>
      <c r="H162" s="24"/>
      <c r="I162" s="24"/>
      <c r="J162" s="24"/>
      <c r="K162" s="94"/>
      <c r="L162" s="24"/>
      <c r="M162" s="94"/>
      <c r="N162" s="24"/>
      <c r="O162" s="94"/>
      <c r="P162" s="313"/>
      <c r="Q162" s="313"/>
      <c r="R162" s="313"/>
      <c r="S162" s="24"/>
      <c r="CD162" s="422"/>
      <c r="CE162" s="422"/>
      <c r="CF162" s="422"/>
      <c r="CG162" s="422"/>
      <c r="CH162" s="422"/>
    </row>
    <row r="163" spans="1:86" s="18" customFormat="1" ht="14.25">
      <c r="A163" s="24"/>
      <c r="B163" s="24"/>
      <c r="C163" s="278"/>
      <c r="E163" s="24"/>
      <c r="F163" s="94"/>
      <c r="G163" s="94"/>
      <c r="H163" s="24"/>
      <c r="I163" s="24"/>
      <c r="J163" s="24"/>
      <c r="K163" s="94"/>
      <c r="L163" s="24"/>
      <c r="M163" s="94"/>
      <c r="N163" s="24"/>
      <c r="O163" s="94"/>
      <c r="P163" s="313"/>
      <c r="Q163" s="313"/>
      <c r="R163" s="313"/>
      <c r="S163" s="24"/>
      <c r="CD163" s="422"/>
      <c r="CE163" s="422"/>
      <c r="CF163" s="422"/>
      <c r="CG163" s="422"/>
      <c r="CH163" s="422"/>
    </row>
    <row r="164" spans="1:86" s="18" customFormat="1" ht="14.25">
      <c r="A164" s="24"/>
      <c r="B164" s="24"/>
      <c r="C164" s="278"/>
      <c r="E164" s="24"/>
      <c r="F164" s="94"/>
      <c r="G164" s="94"/>
      <c r="H164" s="24"/>
      <c r="I164" s="24"/>
      <c r="J164" s="24"/>
      <c r="K164" s="94"/>
      <c r="L164" s="24"/>
      <c r="M164" s="94"/>
      <c r="N164" s="24"/>
      <c r="O164" s="94"/>
      <c r="P164" s="313"/>
      <c r="Q164" s="313"/>
      <c r="R164" s="313"/>
      <c r="S164" s="24"/>
      <c r="CD164" s="422"/>
      <c r="CE164" s="422"/>
      <c r="CF164" s="422"/>
      <c r="CG164" s="422"/>
      <c r="CH164" s="422"/>
    </row>
    <row r="165" spans="1:86" s="18" customFormat="1" ht="14.25">
      <c r="A165" s="24"/>
      <c r="B165" s="24"/>
      <c r="C165" s="278"/>
      <c r="E165" s="24"/>
      <c r="F165" s="94"/>
      <c r="G165" s="94"/>
      <c r="H165" s="24"/>
      <c r="I165" s="24"/>
      <c r="J165" s="24"/>
      <c r="K165" s="94"/>
      <c r="L165" s="24"/>
      <c r="M165" s="94"/>
      <c r="N165" s="24"/>
      <c r="O165" s="94"/>
      <c r="P165" s="313"/>
      <c r="Q165" s="313"/>
      <c r="R165" s="313"/>
      <c r="S165" s="24"/>
      <c r="CD165" s="422"/>
      <c r="CE165" s="422"/>
      <c r="CF165" s="422"/>
      <c r="CG165" s="422"/>
      <c r="CH165" s="422"/>
    </row>
    <row r="166" spans="1:86" s="18" customFormat="1" ht="14.25">
      <c r="A166" s="24"/>
      <c r="B166" s="24"/>
      <c r="C166" s="278"/>
      <c r="E166" s="24"/>
      <c r="F166" s="94"/>
      <c r="G166" s="94"/>
      <c r="H166" s="24"/>
      <c r="I166" s="24"/>
      <c r="J166" s="24"/>
      <c r="K166" s="94"/>
      <c r="L166" s="24"/>
      <c r="M166" s="94"/>
      <c r="N166" s="24"/>
      <c r="O166" s="94"/>
      <c r="P166" s="313"/>
      <c r="Q166" s="313"/>
      <c r="R166" s="313"/>
      <c r="S166" s="24"/>
      <c r="CD166" s="422"/>
      <c r="CE166" s="422"/>
      <c r="CF166" s="422"/>
      <c r="CG166" s="422"/>
      <c r="CH166" s="422"/>
    </row>
    <row r="167" spans="1:86" s="18" customFormat="1" ht="14.25">
      <c r="A167" s="24"/>
      <c r="B167" s="24"/>
      <c r="C167" s="278"/>
      <c r="E167" s="24"/>
      <c r="F167" s="94"/>
      <c r="G167" s="94"/>
      <c r="H167" s="24"/>
      <c r="I167" s="24"/>
      <c r="J167" s="24"/>
      <c r="K167" s="94"/>
      <c r="L167" s="24"/>
      <c r="M167" s="94"/>
      <c r="N167" s="24"/>
      <c r="O167" s="94"/>
      <c r="P167" s="313"/>
      <c r="Q167" s="313"/>
      <c r="R167" s="313"/>
      <c r="S167" s="24"/>
      <c r="CD167" s="422"/>
      <c r="CE167" s="422"/>
      <c r="CF167" s="422"/>
      <c r="CG167" s="422"/>
      <c r="CH167" s="422"/>
    </row>
    <row r="168" spans="1:86" s="18" customFormat="1" ht="14.25">
      <c r="A168" s="24"/>
      <c r="B168" s="24"/>
      <c r="C168" s="278"/>
      <c r="E168" s="24"/>
      <c r="F168" s="94"/>
      <c r="G168" s="94"/>
      <c r="H168" s="24"/>
      <c r="I168" s="24"/>
      <c r="J168" s="24"/>
      <c r="K168" s="94"/>
      <c r="L168" s="24"/>
      <c r="M168" s="94"/>
      <c r="N168" s="24"/>
      <c r="O168" s="94"/>
      <c r="P168" s="313"/>
      <c r="Q168" s="313"/>
      <c r="R168" s="313"/>
      <c r="S168" s="24"/>
      <c r="CD168" s="422"/>
      <c r="CE168" s="422"/>
      <c r="CF168" s="422"/>
      <c r="CG168" s="422"/>
      <c r="CH168" s="422"/>
    </row>
    <row r="169" spans="1:86" s="18" customFormat="1" ht="14.25">
      <c r="A169" s="24"/>
      <c r="B169" s="24"/>
      <c r="C169" s="278"/>
      <c r="E169" s="24"/>
      <c r="F169" s="94"/>
      <c r="G169" s="94"/>
      <c r="H169" s="24"/>
      <c r="I169" s="24"/>
      <c r="J169" s="24"/>
      <c r="K169" s="94"/>
      <c r="L169" s="24"/>
      <c r="M169" s="94"/>
      <c r="N169" s="24"/>
      <c r="O169" s="94"/>
      <c r="P169" s="313"/>
      <c r="Q169" s="313"/>
      <c r="R169" s="313"/>
      <c r="S169" s="24"/>
      <c r="CD169" s="422"/>
      <c r="CE169" s="422"/>
      <c r="CF169" s="422"/>
      <c r="CG169" s="422"/>
      <c r="CH169" s="422"/>
    </row>
    <row r="170" spans="1:86">
      <c r="A170" s="24"/>
      <c r="B170" s="24"/>
      <c r="C170" s="278"/>
      <c r="D170" s="18"/>
      <c r="E170" s="24"/>
      <c r="I170" s="24"/>
      <c r="J170" s="24"/>
      <c r="K170" s="94"/>
      <c r="L170" s="24"/>
      <c r="M170" s="94"/>
      <c r="N170" s="24"/>
      <c r="O170" s="94"/>
      <c r="P170" s="313"/>
      <c r="Q170" s="313"/>
      <c r="R170" s="313"/>
      <c r="S170" s="24"/>
      <c r="T170" s="18"/>
      <c r="U170" s="18"/>
      <c r="V170" s="18"/>
      <c r="W170" s="18"/>
      <c r="Z170" s="18"/>
      <c r="AA170" s="18"/>
      <c r="AB170" s="18"/>
      <c r="AC170" s="18"/>
      <c r="AF170" s="18"/>
      <c r="AG170" s="18"/>
      <c r="AH170" s="18"/>
      <c r="AI170" s="18"/>
      <c r="AL170" s="18"/>
      <c r="AM170" s="18"/>
      <c r="AN170" s="18"/>
      <c r="AO170" s="18"/>
      <c r="AR170" s="18"/>
      <c r="AS170" s="18"/>
      <c r="AT170" s="18"/>
      <c r="AU170" s="18"/>
      <c r="AX170" s="18"/>
      <c r="AY170" s="18"/>
      <c r="AZ170" s="18"/>
      <c r="BA170" s="18"/>
      <c r="BD170" s="18"/>
      <c r="BE170" s="18"/>
      <c r="BF170" s="18"/>
      <c r="BG170" s="18"/>
      <c r="BJ170" s="18"/>
      <c r="BK170" s="18"/>
      <c r="BL170" s="18"/>
      <c r="BM170" s="18"/>
      <c r="BP170" s="18"/>
      <c r="BQ170" s="18"/>
      <c r="BR170" s="18"/>
      <c r="BS170" s="18"/>
      <c r="BV170" s="18"/>
      <c r="BW170" s="18"/>
      <c r="BX170" s="18"/>
      <c r="BY170" s="18"/>
      <c r="CA170" s="18"/>
    </row>
    <row r="171" spans="1:86">
      <c r="P171" s="313"/>
      <c r="Q171" s="313"/>
      <c r="R171" s="313"/>
      <c r="T171" s="18"/>
      <c r="U171" s="18"/>
      <c r="V171" s="18"/>
      <c r="W171" s="18"/>
      <c r="Z171" s="18"/>
      <c r="AA171" s="18"/>
      <c r="AB171" s="18"/>
      <c r="AC171" s="18"/>
      <c r="AF171" s="18"/>
      <c r="AG171" s="18"/>
      <c r="AH171" s="18"/>
      <c r="AI171" s="18"/>
      <c r="AL171" s="18"/>
      <c r="AM171" s="18"/>
      <c r="AN171" s="18"/>
      <c r="AO171" s="18"/>
      <c r="AR171" s="18"/>
      <c r="AS171" s="18"/>
      <c r="AT171" s="18"/>
      <c r="AU171" s="18"/>
      <c r="AX171" s="18"/>
      <c r="AY171" s="18"/>
      <c r="AZ171" s="18"/>
      <c r="BA171" s="18"/>
      <c r="BD171" s="18"/>
      <c r="BE171" s="18"/>
      <c r="BF171" s="18"/>
      <c r="BG171" s="18"/>
      <c r="BJ171" s="18"/>
      <c r="BK171" s="18"/>
      <c r="BL171" s="18"/>
      <c r="BM171" s="18"/>
      <c r="BP171" s="18"/>
      <c r="BQ171" s="18"/>
      <c r="BR171" s="18"/>
      <c r="BS171" s="18"/>
      <c r="BV171" s="18"/>
      <c r="BW171" s="18"/>
      <c r="BX171" s="18"/>
      <c r="BY171" s="18"/>
      <c r="CA171" s="18"/>
    </row>
    <row r="172" spans="1:86">
      <c r="P172" s="313"/>
      <c r="Q172" s="313"/>
      <c r="R172" s="313"/>
      <c r="T172" s="18"/>
      <c r="U172" s="18"/>
      <c r="V172" s="18"/>
      <c r="W172" s="18"/>
      <c r="Z172" s="18"/>
      <c r="AA172" s="18"/>
      <c r="AB172" s="18"/>
      <c r="AC172" s="18"/>
      <c r="AF172" s="18"/>
      <c r="AG172" s="18"/>
      <c r="AH172" s="18"/>
      <c r="AI172" s="18"/>
      <c r="AL172" s="18"/>
      <c r="AM172" s="18"/>
      <c r="AN172" s="18"/>
      <c r="AO172" s="18"/>
      <c r="AR172" s="18"/>
      <c r="AS172" s="18"/>
      <c r="AT172" s="18"/>
      <c r="AU172" s="18"/>
      <c r="AX172" s="18"/>
      <c r="AY172" s="18"/>
      <c r="AZ172" s="18"/>
      <c r="BA172" s="18"/>
      <c r="BD172" s="18"/>
      <c r="BE172" s="18"/>
      <c r="BF172" s="18"/>
      <c r="BG172" s="18"/>
      <c r="BJ172" s="18"/>
      <c r="BK172" s="18"/>
      <c r="BL172" s="18"/>
      <c r="BM172" s="18"/>
      <c r="BP172" s="18"/>
      <c r="BQ172" s="18"/>
      <c r="BR172" s="18"/>
      <c r="BS172" s="18"/>
      <c r="BV172" s="18"/>
      <c r="BW172" s="18"/>
      <c r="BX172" s="18"/>
      <c r="BY172" s="18"/>
      <c r="CA172" s="18"/>
    </row>
    <row r="173" spans="1:86">
      <c r="P173" s="313"/>
      <c r="Q173" s="313"/>
      <c r="R173" s="313"/>
      <c r="T173" s="18"/>
      <c r="U173" s="18"/>
      <c r="V173" s="18"/>
      <c r="W173" s="18"/>
      <c r="Z173" s="18"/>
      <c r="AA173" s="18"/>
      <c r="AB173" s="18"/>
      <c r="AC173" s="18"/>
      <c r="AF173" s="18"/>
      <c r="AG173" s="18"/>
      <c r="AH173" s="18"/>
      <c r="AI173" s="18"/>
      <c r="AL173" s="18"/>
      <c r="AM173" s="18"/>
      <c r="AN173" s="18"/>
      <c r="AO173" s="18"/>
      <c r="AR173" s="18"/>
      <c r="AS173" s="18"/>
      <c r="AT173" s="18"/>
      <c r="AU173" s="18"/>
      <c r="AX173" s="18"/>
      <c r="AY173" s="18"/>
      <c r="AZ173" s="18"/>
      <c r="BA173" s="18"/>
      <c r="BD173" s="18"/>
      <c r="BE173" s="18"/>
      <c r="BF173" s="18"/>
      <c r="BG173" s="18"/>
      <c r="BJ173" s="18"/>
      <c r="BK173" s="18"/>
      <c r="BL173" s="18"/>
      <c r="BM173" s="18"/>
      <c r="BP173" s="18"/>
      <c r="BQ173" s="18"/>
      <c r="BR173" s="18"/>
      <c r="BS173" s="18"/>
      <c r="BV173" s="18"/>
      <c r="BW173" s="18"/>
      <c r="BX173" s="18"/>
      <c r="BY173" s="18"/>
      <c r="CA173" s="18"/>
    </row>
    <row r="174" spans="1:86">
      <c r="P174" s="313"/>
      <c r="Q174" s="313"/>
      <c r="R174" s="313"/>
      <c r="T174" s="18"/>
      <c r="U174" s="18"/>
      <c r="V174" s="18"/>
      <c r="W174" s="18"/>
      <c r="Z174" s="18"/>
      <c r="AA174" s="18"/>
      <c r="AB174" s="18"/>
      <c r="AC174" s="18"/>
      <c r="AF174" s="18"/>
      <c r="AG174" s="18"/>
      <c r="AH174" s="18"/>
      <c r="AI174" s="18"/>
      <c r="AL174" s="18"/>
      <c r="AM174" s="18"/>
      <c r="AN174" s="18"/>
      <c r="AO174" s="18"/>
      <c r="AR174" s="18"/>
      <c r="AS174" s="18"/>
      <c r="AT174" s="18"/>
      <c r="AU174" s="18"/>
      <c r="AX174" s="18"/>
      <c r="AY174" s="18"/>
      <c r="AZ174" s="18"/>
      <c r="BA174" s="18"/>
      <c r="BD174" s="18"/>
      <c r="BE174" s="18"/>
      <c r="BF174" s="18"/>
      <c r="BG174" s="18"/>
      <c r="BJ174" s="18"/>
      <c r="BK174" s="18"/>
      <c r="BL174" s="18"/>
      <c r="BM174" s="18"/>
      <c r="BP174" s="18"/>
      <c r="BQ174" s="18"/>
      <c r="BR174" s="18"/>
      <c r="BS174" s="18"/>
      <c r="BV174" s="18"/>
      <c r="BW174" s="18"/>
      <c r="BX174" s="18"/>
      <c r="BY174" s="18"/>
      <c r="CA174" s="18"/>
    </row>
    <row r="175" spans="1:86">
      <c r="P175" s="313"/>
      <c r="Q175" s="313"/>
      <c r="R175" s="313"/>
      <c r="T175" s="18"/>
      <c r="U175" s="18"/>
      <c r="V175" s="18"/>
      <c r="W175" s="18"/>
      <c r="Z175" s="18"/>
      <c r="AA175" s="18"/>
      <c r="AB175" s="18"/>
      <c r="AC175" s="18"/>
      <c r="AF175" s="18"/>
      <c r="AG175" s="18"/>
      <c r="AH175" s="18"/>
      <c r="AI175" s="18"/>
      <c r="AL175" s="18"/>
      <c r="AM175" s="18"/>
      <c r="AN175" s="18"/>
      <c r="AO175" s="18"/>
      <c r="AR175" s="18"/>
      <c r="AS175" s="18"/>
      <c r="AT175" s="18"/>
      <c r="AU175" s="18"/>
      <c r="AX175" s="18"/>
      <c r="AY175" s="18"/>
      <c r="AZ175" s="18"/>
      <c r="BA175" s="18"/>
      <c r="BD175" s="18"/>
      <c r="BE175" s="18"/>
      <c r="BF175" s="18"/>
      <c r="BG175" s="18"/>
      <c r="BJ175" s="18"/>
      <c r="BK175" s="18"/>
      <c r="BL175" s="18"/>
      <c r="BM175" s="18"/>
      <c r="BP175" s="18"/>
      <c r="BQ175" s="18"/>
      <c r="BR175" s="18"/>
      <c r="BS175" s="18"/>
      <c r="BV175" s="18"/>
      <c r="BW175" s="18"/>
      <c r="BX175" s="18"/>
      <c r="BY175" s="18"/>
      <c r="CA175" s="18"/>
    </row>
    <row r="176" spans="1:86">
      <c r="P176" s="313"/>
      <c r="Q176" s="313"/>
      <c r="R176" s="313"/>
      <c r="T176" s="18"/>
      <c r="U176" s="18"/>
      <c r="V176" s="18"/>
      <c r="W176" s="18"/>
      <c r="Z176" s="18"/>
      <c r="AA176" s="18"/>
      <c r="AB176" s="18"/>
      <c r="AC176" s="18"/>
      <c r="AF176" s="18"/>
      <c r="AG176" s="18"/>
      <c r="AH176" s="18"/>
      <c r="AI176" s="18"/>
      <c r="AL176" s="18"/>
      <c r="AM176" s="18"/>
      <c r="AN176" s="18"/>
      <c r="AO176" s="18"/>
      <c r="AR176" s="18"/>
      <c r="AS176" s="18"/>
      <c r="AT176" s="18"/>
      <c r="AU176" s="18"/>
      <c r="AX176" s="18"/>
      <c r="AY176" s="18"/>
      <c r="AZ176" s="18"/>
      <c r="BA176" s="18"/>
      <c r="BD176" s="18"/>
      <c r="BE176" s="18"/>
      <c r="BF176" s="18"/>
      <c r="BG176" s="18"/>
      <c r="BJ176" s="18"/>
      <c r="BK176" s="18"/>
      <c r="BL176" s="18"/>
      <c r="BM176" s="18"/>
      <c r="BP176" s="18"/>
      <c r="BQ176" s="18"/>
      <c r="BR176" s="18"/>
      <c r="BS176" s="18"/>
      <c r="BV176" s="18"/>
      <c r="BW176" s="18"/>
      <c r="BX176" s="18"/>
      <c r="BY176" s="18"/>
      <c r="CA176" s="18"/>
    </row>
    <row r="177" spans="16:79">
      <c r="P177" s="313"/>
      <c r="Q177" s="313"/>
      <c r="R177" s="313"/>
      <c r="T177" s="18"/>
      <c r="U177" s="18"/>
      <c r="V177" s="18"/>
      <c r="W177" s="18"/>
      <c r="Z177" s="18"/>
      <c r="AA177" s="18"/>
      <c r="AB177" s="18"/>
      <c r="AC177" s="18"/>
      <c r="AF177" s="18"/>
      <c r="AG177" s="18"/>
      <c r="AH177" s="18"/>
      <c r="AI177" s="18"/>
      <c r="AL177" s="18"/>
      <c r="AM177" s="18"/>
      <c r="AN177" s="18"/>
      <c r="AO177" s="18"/>
      <c r="AR177" s="18"/>
      <c r="AS177" s="18"/>
      <c r="AT177" s="18"/>
      <c r="AU177" s="18"/>
      <c r="AX177" s="18"/>
      <c r="AY177" s="18"/>
      <c r="AZ177" s="18"/>
      <c r="BA177" s="18"/>
      <c r="BD177" s="18"/>
      <c r="BE177" s="18"/>
      <c r="BF177" s="18"/>
      <c r="BG177" s="18"/>
      <c r="BJ177" s="18"/>
      <c r="BK177" s="18"/>
      <c r="BL177" s="18"/>
      <c r="BM177" s="18"/>
      <c r="BP177" s="18"/>
      <c r="BQ177" s="18"/>
      <c r="BR177" s="18"/>
      <c r="BS177" s="18"/>
      <c r="BV177" s="18"/>
      <c r="BW177" s="18"/>
      <c r="BX177" s="18"/>
      <c r="BY177" s="18"/>
      <c r="CA177" s="18"/>
    </row>
    <row r="178" spans="16:79">
      <c r="P178" s="313"/>
      <c r="Q178" s="313"/>
      <c r="R178" s="313"/>
      <c r="T178" s="18"/>
      <c r="U178" s="18"/>
      <c r="V178" s="18"/>
      <c r="W178" s="18"/>
      <c r="Z178" s="18"/>
      <c r="AA178" s="18"/>
      <c r="AB178" s="18"/>
      <c r="AC178" s="18"/>
      <c r="AF178" s="18"/>
      <c r="AG178" s="18"/>
      <c r="AH178" s="18"/>
      <c r="AI178" s="18"/>
      <c r="AL178" s="18"/>
      <c r="AM178" s="18"/>
      <c r="AN178" s="18"/>
      <c r="AO178" s="18"/>
      <c r="AR178" s="18"/>
      <c r="AS178" s="18"/>
      <c r="AT178" s="18"/>
      <c r="AU178" s="18"/>
      <c r="AX178" s="18"/>
      <c r="AY178" s="18"/>
      <c r="AZ178" s="18"/>
      <c r="BA178" s="18"/>
      <c r="BD178" s="18"/>
      <c r="BE178" s="18"/>
      <c r="BF178" s="18"/>
      <c r="BG178" s="18"/>
      <c r="BJ178" s="18"/>
      <c r="BK178" s="18"/>
      <c r="BL178" s="18"/>
      <c r="BM178" s="18"/>
      <c r="BP178" s="18"/>
      <c r="BQ178" s="18"/>
      <c r="BR178" s="18"/>
      <c r="BS178" s="18"/>
      <c r="BV178" s="18"/>
      <c r="BW178" s="18"/>
      <c r="BX178" s="18"/>
      <c r="BY178" s="18"/>
      <c r="CA178" s="18"/>
    </row>
    <row r="179" spans="16:79">
      <c r="P179" s="313"/>
      <c r="Q179" s="313"/>
      <c r="R179" s="313"/>
      <c r="T179" s="18"/>
      <c r="U179" s="18"/>
      <c r="V179" s="18"/>
      <c r="W179" s="18"/>
      <c r="Z179" s="18"/>
      <c r="AA179" s="18"/>
      <c r="AB179" s="18"/>
      <c r="AC179" s="18"/>
      <c r="AF179" s="18"/>
      <c r="AG179" s="18"/>
      <c r="AH179" s="18"/>
      <c r="AI179" s="18"/>
      <c r="AL179" s="18"/>
      <c r="AM179" s="18"/>
      <c r="AN179" s="18"/>
      <c r="AO179" s="18"/>
      <c r="AR179" s="18"/>
      <c r="AS179" s="18"/>
      <c r="AT179" s="18"/>
      <c r="AU179" s="18"/>
      <c r="AX179" s="18"/>
      <c r="AY179" s="18"/>
      <c r="AZ179" s="18"/>
      <c r="BA179" s="18"/>
      <c r="BD179" s="18"/>
      <c r="BE179" s="18"/>
      <c r="BF179" s="18"/>
      <c r="BG179" s="18"/>
      <c r="BJ179" s="18"/>
      <c r="BK179" s="18"/>
      <c r="BL179" s="18"/>
      <c r="BM179" s="18"/>
      <c r="BP179" s="18"/>
      <c r="BQ179" s="18"/>
      <c r="BR179" s="18"/>
      <c r="BS179" s="18"/>
      <c r="BV179" s="18"/>
      <c r="BW179" s="18"/>
      <c r="BX179" s="18"/>
      <c r="BY179" s="18"/>
      <c r="CA179" s="18"/>
    </row>
    <row r="180" spans="16:79">
      <c r="P180" s="313"/>
      <c r="Q180" s="313"/>
      <c r="R180" s="313"/>
      <c r="T180" s="18"/>
      <c r="U180" s="18"/>
      <c r="V180" s="18"/>
      <c r="W180" s="18"/>
      <c r="Z180" s="18"/>
      <c r="AA180" s="18"/>
      <c r="AB180" s="18"/>
      <c r="AC180" s="18"/>
      <c r="AF180" s="18"/>
      <c r="AG180" s="18"/>
      <c r="AH180" s="18"/>
      <c r="AI180" s="18"/>
      <c r="AL180" s="18"/>
      <c r="AM180" s="18"/>
      <c r="AN180" s="18"/>
      <c r="AO180" s="18"/>
      <c r="AR180" s="18"/>
      <c r="AS180" s="18"/>
      <c r="AT180" s="18"/>
      <c r="AU180" s="18"/>
      <c r="AX180" s="18"/>
      <c r="AY180" s="18"/>
      <c r="AZ180" s="18"/>
      <c r="BA180" s="18"/>
      <c r="BD180" s="18"/>
      <c r="BE180" s="18"/>
      <c r="BF180" s="18"/>
      <c r="BG180" s="18"/>
      <c r="BJ180" s="18"/>
      <c r="BK180" s="18"/>
      <c r="BL180" s="18"/>
      <c r="BM180" s="18"/>
      <c r="BP180" s="18"/>
      <c r="BQ180" s="18"/>
      <c r="BR180" s="18"/>
      <c r="BS180" s="18"/>
      <c r="BV180" s="18"/>
      <c r="BW180" s="18"/>
      <c r="BX180" s="18"/>
      <c r="BY180" s="18"/>
      <c r="CA180" s="18"/>
    </row>
    <row r="181" spans="16:79">
      <c r="P181" s="313"/>
      <c r="Q181" s="313"/>
      <c r="R181" s="313"/>
      <c r="T181" s="18"/>
      <c r="U181" s="18"/>
      <c r="V181" s="18"/>
      <c r="W181" s="18"/>
      <c r="Z181" s="18"/>
      <c r="AA181" s="18"/>
      <c r="AB181" s="18"/>
      <c r="AC181" s="18"/>
      <c r="AF181" s="18"/>
      <c r="AG181" s="18"/>
      <c r="AH181" s="18"/>
      <c r="AI181" s="18"/>
      <c r="AL181" s="18"/>
      <c r="AM181" s="18"/>
      <c r="AN181" s="18"/>
      <c r="AO181" s="18"/>
      <c r="AR181" s="18"/>
      <c r="AS181" s="18"/>
      <c r="AT181" s="18"/>
      <c r="AU181" s="18"/>
      <c r="AX181" s="18"/>
      <c r="AY181" s="18"/>
      <c r="AZ181" s="18"/>
      <c r="BA181" s="18"/>
      <c r="BD181" s="18"/>
      <c r="BE181" s="18"/>
      <c r="BF181" s="18"/>
      <c r="BG181" s="18"/>
      <c r="BJ181" s="18"/>
      <c r="BK181" s="18"/>
      <c r="BL181" s="18"/>
      <c r="BM181" s="18"/>
      <c r="BP181" s="18"/>
      <c r="BQ181" s="18"/>
      <c r="BR181" s="18"/>
      <c r="BS181" s="18"/>
      <c r="BV181" s="18"/>
      <c r="BW181" s="18"/>
      <c r="BX181" s="18"/>
      <c r="BY181" s="18"/>
      <c r="CA181" s="18"/>
    </row>
    <row r="182" spans="16:79">
      <c r="P182" s="313"/>
      <c r="Q182" s="313"/>
      <c r="R182" s="313"/>
      <c r="T182" s="18"/>
      <c r="U182" s="18"/>
      <c r="V182" s="18"/>
      <c r="W182" s="18"/>
      <c r="Z182" s="18"/>
      <c r="AA182" s="18"/>
      <c r="AB182" s="18"/>
      <c r="AC182" s="18"/>
      <c r="AF182" s="18"/>
      <c r="AG182" s="18"/>
      <c r="AH182" s="18"/>
      <c r="AI182" s="18"/>
      <c r="AL182" s="18"/>
      <c r="AM182" s="18"/>
      <c r="AN182" s="18"/>
      <c r="AO182" s="18"/>
      <c r="AR182" s="18"/>
      <c r="AS182" s="18"/>
      <c r="AT182" s="18"/>
      <c r="AU182" s="18"/>
      <c r="AX182" s="18"/>
      <c r="AY182" s="18"/>
      <c r="AZ182" s="18"/>
      <c r="BA182" s="18"/>
      <c r="BD182" s="18"/>
      <c r="BE182" s="18"/>
      <c r="BF182" s="18"/>
      <c r="BG182" s="18"/>
      <c r="BJ182" s="18"/>
      <c r="BK182" s="18"/>
      <c r="BL182" s="18"/>
      <c r="BM182" s="18"/>
      <c r="BP182" s="18"/>
      <c r="BQ182" s="18"/>
      <c r="BR182" s="18"/>
      <c r="BS182" s="18"/>
      <c r="BV182" s="18"/>
      <c r="BW182" s="18"/>
      <c r="BX182" s="18"/>
      <c r="BY182" s="18"/>
      <c r="CA182" s="18"/>
    </row>
    <row r="183" spans="16:79">
      <c r="P183" s="313"/>
      <c r="Q183" s="313"/>
      <c r="R183" s="313"/>
      <c r="T183" s="18"/>
      <c r="U183" s="18"/>
      <c r="V183" s="18"/>
      <c r="W183" s="18"/>
      <c r="Z183" s="18"/>
      <c r="AA183" s="18"/>
      <c r="AB183" s="18"/>
      <c r="AC183" s="18"/>
      <c r="AF183" s="18"/>
      <c r="AG183" s="18"/>
      <c r="AH183" s="18"/>
      <c r="AI183" s="18"/>
      <c r="AL183" s="18"/>
      <c r="AM183" s="18"/>
      <c r="AN183" s="18"/>
      <c r="AO183" s="18"/>
      <c r="AR183" s="18"/>
      <c r="AS183" s="18"/>
      <c r="AT183" s="18"/>
      <c r="AU183" s="18"/>
      <c r="AX183" s="18"/>
      <c r="AY183" s="18"/>
      <c r="AZ183" s="18"/>
      <c r="BA183" s="18"/>
      <c r="BD183" s="18"/>
      <c r="BE183" s="18"/>
      <c r="BF183" s="18"/>
      <c r="BG183" s="18"/>
      <c r="BJ183" s="18"/>
      <c r="BK183" s="18"/>
      <c r="BL183" s="18"/>
      <c r="BM183" s="18"/>
      <c r="BP183" s="18"/>
      <c r="BQ183" s="18"/>
      <c r="BR183" s="18"/>
      <c r="BS183" s="18"/>
      <c r="BV183" s="18"/>
      <c r="BW183" s="18"/>
      <c r="BX183" s="18"/>
      <c r="BY183" s="18"/>
      <c r="CA183" s="18"/>
    </row>
    <row r="184" spans="16:79">
      <c r="P184" s="313"/>
      <c r="Q184" s="313"/>
      <c r="R184" s="313"/>
      <c r="T184" s="18"/>
      <c r="U184" s="18"/>
      <c r="V184" s="18"/>
      <c r="W184" s="18"/>
      <c r="Z184" s="18"/>
      <c r="AA184" s="18"/>
      <c r="AB184" s="18"/>
      <c r="AC184" s="18"/>
      <c r="AF184" s="18"/>
      <c r="AG184" s="18"/>
      <c r="AH184" s="18"/>
      <c r="AI184" s="18"/>
      <c r="AL184" s="18"/>
      <c r="AM184" s="18"/>
      <c r="AN184" s="18"/>
      <c r="AO184" s="18"/>
      <c r="AR184" s="18"/>
      <c r="AS184" s="18"/>
      <c r="AT184" s="18"/>
      <c r="AU184" s="18"/>
      <c r="AX184" s="18"/>
      <c r="AY184" s="18"/>
      <c r="AZ184" s="18"/>
      <c r="BA184" s="18"/>
      <c r="BD184" s="18"/>
      <c r="BE184" s="18"/>
      <c r="BF184" s="18"/>
      <c r="BG184" s="18"/>
      <c r="BJ184" s="18"/>
      <c r="BK184" s="18"/>
      <c r="BL184" s="18"/>
      <c r="BM184" s="18"/>
      <c r="BP184" s="18"/>
      <c r="BQ184" s="18"/>
      <c r="BR184" s="18"/>
      <c r="BS184" s="18"/>
      <c r="BV184" s="18"/>
      <c r="BW184" s="18"/>
      <c r="BX184" s="18"/>
      <c r="BY184" s="18"/>
      <c r="CA184" s="18"/>
    </row>
    <row r="185" spans="16:79">
      <c r="P185" s="313"/>
      <c r="Q185" s="313"/>
      <c r="R185" s="313"/>
      <c r="T185" s="18"/>
      <c r="U185" s="18"/>
      <c r="V185" s="18"/>
      <c r="W185" s="18"/>
      <c r="Z185" s="18"/>
      <c r="AA185" s="18"/>
      <c r="AB185" s="18"/>
      <c r="AC185" s="18"/>
      <c r="AF185" s="18"/>
      <c r="AG185" s="18"/>
      <c r="AH185" s="18"/>
      <c r="AI185" s="18"/>
      <c r="AL185" s="18"/>
      <c r="AM185" s="18"/>
      <c r="AN185" s="18"/>
      <c r="AO185" s="18"/>
      <c r="AR185" s="18"/>
      <c r="AS185" s="18"/>
      <c r="AT185" s="18"/>
      <c r="AU185" s="18"/>
      <c r="AX185" s="18"/>
      <c r="AY185" s="18"/>
      <c r="AZ185" s="18"/>
      <c r="BA185" s="18"/>
      <c r="BD185" s="18"/>
      <c r="BE185" s="18"/>
      <c r="BF185" s="18"/>
      <c r="BG185" s="18"/>
      <c r="BJ185" s="18"/>
      <c r="BK185" s="18"/>
      <c r="BL185" s="18"/>
      <c r="BM185" s="18"/>
      <c r="BP185" s="18"/>
      <c r="BQ185" s="18"/>
      <c r="BR185" s="18"/>
      <c r="BS185" s="18"/>
      <c r="BV185" s="18"/>
      <c r="BW185" s="18"/>
      <c r="BX185" s="18"/>
      <c r="BY185" s="18"/>
      <c r="CA185" s="18"/>
    </row>
    <row r="186" spans="16:79">
      <c r="P186" s="313"/>
      <c r="Q186" s="313"/>
      <c r="R186" s="313"/>
      <c r="T186" s="18"/>
      <c r="U186" s="18"/>
      <c r="V186" s="18"/>
      <c r="W186" s="18"/>
      <c r="Z186" s="18"/>
      <c r="AA186" s="18"/>
      <c r="AB186" s="18"/>
      <c r="AC186" s="18"/>
      <c r="AF186" s="18"/>
      <c r="AG186" s="18"/>
      <c r="AH186" s="18"/>
      <c r="AI186" s="18"/>
      <c r="AL186" s="18"/>
      <c r="AM186" s="18"/>
      <c r="AN186" s="18"/>
      <c r="AO186" s="18"/>
      <c r="AR186" s="18"/>
      <c r="AS186" s="18"/>
      <c r="AT186" s="18"/>
      <c r="AU186" s="18"/>
      <c r="AX186" s="18"/>
      <c r="AY186" s="18"/>
      <c r="AZ186" s="18"/>
      <c r="BA186" s="18"/>
      <c r="BD186" s="18"/>
      <c r="BE186" s="18"/>
      <c r="BF186" s="18"/>
      <c r="BG186" s="18"/>
      <c r="BJ186" s="18"/>
      <c r="BK186" s="18"/>
      <c r="BL186" s="18"/>
      <c r="BM186" s="18"/>
      <c r="BP186" s="18"/>
      <c r="BQ186" s="18"/>
      <c r="BR186" s="18"/>
      <c r="BS186" s="18"/>
      <c r="BV186" s="18"/>
      <c r="BW186" s="18"/>
      <c r="BX186" s="18"/>
      <c r="BY186" s="18"/>
      <c r="CA186" s="18"/>
    </row>
    <row r="187" spans="16:79">
      <c r="P187" s="313"/>
      <c r="Q187" s="313"/>
      <c r="R187" s="313"/>
      <c r="T187" s="18"/>
      <c r="U187" s="18"/>
      <c r="V187" s="18"/>
      <c r="W187" s="18"/>
      <c r="Z187" s="18"/>
      <c r="AA187" s="18"/>
      <c r="AB187" s="18"/>
      <c r="AC187" s="18"/>
      <c r="AF187" s="18"/>
      <c r="AG187" s="18"/>
      <c r="AH187" s="18"/>
      <c r="AI187" s="18"/>
      <c r="AL187" s="18"/>
      <c r="AM187" s="18"/>
      <c r="AN187" s="18"/>
      <c r="AO187" s="18"/>
      <c r="AR187" s="18"/>
      <c r="AS187" s="18"/>
      <c r="AT187" s="18"/>
      <c r="AU187" s="18"/>
      <c r="AX187" s="18"/>
      <c r="AY187" s="18"/>
      <c r="AZ187" s="18"/>
      <c r="BA187" s="18"/>
      <c r="BD187" s="18"/>
      <c r="BE187" s="18"/>
      <c r="BF187" s="18"/>
      <c r="BG187" s="18"/>
      <c r="BJ187" s="18"/>
      <c r="BK187" s="18"/>
      <c r="BL187" s="18"/>
      <c r="BM187" s="18"/>
      <c r="BP187" s="18"/>
      <c r="BQ187" s="18"/>
      <c r="BR187" s="18"/>
      <c r="BS187" s="18"/>
      <c r="BV187" s="18"/>
      <c r="BW187" s="18"/>
      <c r="BX187" s="18"/>
      <c r="BY187" s="18"/>
      <c r="CA187" s="18"/>
    </row>
    <row r="188" spans="16:79">
      <c r="P188" s="313"/>
      <c r="Q188" s="313"/>
      <c r="R188" s="313"/>
      <c r="T188" s="18"/>
      <c r="U188" s="18"/>
      <c r="V188" s="18"/>
      <c r="W188" s="18"/>
      <c r="Z188" s="18"/>
      <c r="AA188" s="18"/>
      <c r="AB188" s="18"/>
      <c r="AC188" s="18"/>
      <c r="AF188" s="18"/>
      <c r="AG188" s="18"/>
      <c r="AH188" s="18"/>
      <c r="AI188" s="18"/>
      <c r="AL188" s="18"/>
      <c r="AM188" s="18"/>
      <c r="AN188" s="18"/>
      <c r="AO188" s="18"/>
      <c r="AR188" s="18"/>
      <c r="AS188" s="18"/>
      <c r="AT188" s="18"/>
      <c r="AU188" s="18"/>
      <c r="AX188" s="18"/>
      <c r="AY188" s="18"/>
      <c r="AZ188" s="18"/>
      <c r="BA188" s="18"/>
      <c r="BD188" s="18"/>
      <c r="BE188" s="18"/>
      <c r="BF188" s="18"/>
      <c r="BG188" s="18"/>
      <c r="BJ188" s="18"/>
      <c r="BK188" s="18"/>
      <c r="BL188" s="18"/>
      <c r="BM188" s="18"/>
      <c r="BP188" s="18"/>
      <c r="BQ188" s="18"/>
      <c r="BR188" s="18"/>
      <c r="BS188" s="18"/>
      <c r="BV188" s="18"/>
      <c r="BW188" s="18"/>
      <c r="BX188" s="18"/>
      <c r="BY188" s="18"/>
      <c r="CA188" s="18"/>
    </row>
    <row r="189" spans="16:79">
      <c r="P189" s="313"/>
      <c r="Q189" s="313"/>
      <c r="R189" s="313"/>
      <c r="T189" s="18"/>
      <c r="U189" s="18"/>
      <c r="V189" s="18"/>
      <c r="W189" s="18"/>
      <c r="Z189" s="18"/>
      <c r="AA189" s="18"/>
      <c r="AB189" s="18"/>
      <c r="AC189" s="18"/>
      <c r="AF189" s="18"/>
      <c r="AG189" s="18"/>
      <c r="AH189" s="18"/>
      <c r="AI189" s="18"/>
      <c r="AL189" s="18"/>
      <c r="AM189" s="18"/>
      <c r="AN189" s="18"/>
      <c r="AO189" s="18"/>
      <c r="AR189" s="18"/>
      <c r="AS189" s="18"/>
      <c r="AT189" s="18"/>
      <c r="AU189" s="18"/>
      <c r="AX189" s="18"/>
      <c r="AY189" s="18"/>
      <c r="AZ189" s="18"/>
      <c r="BA189" s="18"/>
      <c r="BD189" s="18"/>
      <c r="BE189" s="18"/>
      <c r="BF189" s="18"/>
      <c r="BG189" s="18"/>
      <c r="BJ189" s="18"/>
      <c r="BK189" s="18"/>
      <c r="BL189" s="18"/>
      <c r="BM189" s="18"/>
      <c r="BP189" s="18"/>
      <c r="BQ189" s="18"/>
      <c r="BR189" s="18"/>
      <c r="BS189" s="18"/>
      <c r="BV189" s="18"/>
      <c r="BW189" s="18"/>
      <c r="BX189" s="18"/>
      <c r="BY189" s="18"/>
      <c r="CA189" s="18"/>
    </row>
    <row r="190" spans="16:79">
      <c r="P190" s="313"/>
      <c r="Q190" s="313"/>
      <c r="R190" s="313"/>
      <c r="T190" s="18"/>
      <c r="U190" s="18"/>
      <c r="V190" s="18"/>
      <c r="W190" s="18"/>
      <c r="Z190" s="18"/>
      <c r="AA190" s="18"/>
      <c r="AB190" s="18"/>
      <c r="AC190" s="18"/>
      <c r="AF190" s="18"/>
      <c r="AG190" s="18"/>
      <c r="AH190" s="18"/>
      <c r="AI190" s="18"/>
      <c r="AL190" s="18"/>
      <c r="AM190" s="18"/>
      <c r="AN190" s="18"/>
      <c r="AO190" s="18"/>
      <c r="AR190" s="18"/>
      <c r="AS190" s="18"/>
      <c r="AT190" s="18"/>
      <c r="AU190" s="18"/>
      <c r="AX190" s="18"/>
      <c r="AY190" s="18"/>
      <c r="AZ190" s="18"/>
      <c r="BA190" s="18"/>
      <c r="BD190" s="18"/>
      <c r="BE190" s="18"/>
      <c r="BF190" s="18"/>
      <c r="BG190" s="18"/>
      <c r="BJ190" s="18"/>
      <c r="BK190" s="18"/>
      <c r="BL190" s="18"/>
      <c r="BM190" s="18"/>
      <c r="BP190" s="18"/>
      <c r="BQ190" s="18"/>
      <c r="BR190" s="18"/>
      <c r="BS190" s="18"/>
      <c r="BV190" s="18"/>
      <c r="BW190" s="18"/>
      <c r="BX190" s="18"/>
      <c r="BY190" s="18"/>
      <c r="CA190" s="18"/>
    </row>
    <row r="191" spans="16:79">
      <c r="P191" s="313"/>
      <c r="Q191" s="313"/>
      <c r="R191" s="313"/>
      <c r="T191" s="18"/>
      <c r="U191" s="18"/>
      <c r="V191" s="18"/>
      <c r="W191" s="18"/>
      <c r="Z191" s="18"/>
      <c r="AA191" s="18"/>
      <c r="AB191" s="18"/>
      <c r="AC191" s="18"/>
      <c r="AF191" s="18"/>
      <c r="AG191" s="18"/>
      <c r="AH191" s="18"/>
      <c r="AI191" s="18"/>
      <c r="AL191" s="18"/>
      <c r="AM191" s="18"/>
      <c r="AN191" s="18"/>
      <c r="AO191" s="18"/>
      <c r="AR191" s="18"/>
      <c r="AS191" s="18"/>
      <c r="AT191" s="18"/>
      <c r="AU191" s="18"/>
      <c r="AX191" s="18"/>
      <c r="AY191" s="18"/>
      <c r="AZ191" s="18"/>
      <c r="BA191" s="18"/>
      <c r="BD191" s="18"/>
      <c r="BE191" s="18"/>
      <c r="BF191" s="18"/>
      <c r="BG191" s="18"/>
      <c r="BJ191" s="18"/>
      <c r="BK191" s="18"/>
      <c r="BL191" s="18"/>
      <c r="BM191" s="18"/>
      <c r="BP191" s="18"/>
      <c r="BQ191" s="18"/>
      <c r="BR191" s="18"/>
      <c r="BS191" s="18"/>
      <c r="BV191" s="18"/>
      <c r="BW191" s="18"/>
      <c r="BX191" s="18"/>
      <c r="BY191" s="18"/>
      <c r="CA191" s="18"/>
    </row>
    <row r="192" spans="16:79">
      <c r="P192" s="313"/>
      <c r="Q192" s="313"/>
      <c r="R192" s="313"/>
      <c r="T192" s="18"/>
      <c r="U192" s="18"/>
      <c r="V192" s="18"/>
      <c r="W192" s="18"/>
      <c r="Z192" s="18"/>
      <c r="AA192" s="18"/>
      <c r="AB192" s="18"/>
      <c r="AC192" s="18"/>
      <c r="AF192" s="18"/>
      <c r="AG192" s="18"/>
      <c r="AH192" s="18"/>
      <c r="AI192" s="18"/>
      <c r="AL192" s="18"/>
      <c r="AM192" s="18"/>
      <c r="AN192" s="18"/>
      <c r="AO192" s="18"/>
      <c r="AR192" s="18"/>
      <c r="AS192" s="18"/>
      <c r="AT192" s="18"/>
      <c r="AU192" s="18"/>
      <c r="AX192" s="18"/>
      <c r="AY192" s="18"/>
      <c r="AZ192" s="18"/>
      <c r="BA192" s="18"/>
      <c r="BD192" s="18"/>
      <c r="BE192" s="18"/>
      <c r="BF192" s="18"/>
      <c r="BG192" s="18"/>
      <c r="BJ192" s="18"/>
      <c r="BK192" s="18"/>
      <c r="BL192" s="18"/>
      <c r="BM192" s="18"/>
      <c r="BP192" s="18"/>
      <c r="BQ192" s="18"/>
      <c r="BR192" s="18"/>
      <c r="BS192" s="18"/>
      <c r="BV192" s="18"/>
      <c r="BW192" s="18"/>
      <c r="BX192" s="18"/>
      <c r="BY192" s="18"/>
      <c r="CA192" s="18"/>
    </row>
    <row r="193" spans="16:79">
      <c r="P193" s="313"/>
      <c r="Q193" s="313"/>
      <c r="R193" s="313"/>
      <c r="T193" s="18"/>
      <c r="U193" s="18"/>
      <c r="V193" s="18"/>
      <c r="W193" s="18"/>
      <c r="Z193" s="18"/>
      <c r="AA193" s="18"/>
      <c r="AB193" s="18"/>
      <c r="AC193" s="18"/>
      <c r="AF193" s="18"/>
      <c r="AG193" s="18"/>
      <c r="AH193" s="18"/>
      <c r="AI193" s="18"/>
      <c r="AL193" s="18"/>
      <c r="AM193" s="18"/>
      <c r="AN193" s="18"/>
      <c r="AO193" s="18"/>
      <c r="AR193" s="18"/>
      <c r="AS193" s="18"/>
      <c r="AT193" s="18"/>
      <c r="AU193" s="18"/>
      <c r="AX193" s="18"/>
      <c r="AY193" s="18"/>
      <c r="AZ193" s="18"/>
      <c r="BA193" s="18"/>
      <c r="BD193" s="18"/>
      <c r="BE193" s="18"/>
      <c r="BF193" s="18"/>
      <c r="BG193" s="18"/>
      <c r="BJ193" s="18"/>
      <c r="BK193" s="18"/>
      <c r="BL193" s="18"/>
      <c r="BM193" s="18"/>
      <c r="BP193" s="18"/>
      <c r="BQ193" s="18"/>
      <c r="BR193" s="18"/>
      <c r="BS193" s="18"/>
      <c r="BV193" s="18"/>
      <c r="BW193" s="18"/>
      <c r="BX193" s="18"/>
      <c r="BY193" s="18"/>
      <c r="CA193" s="18"/>
    </row>
    <row r="194" spans="16:79">
      <c r="P194" s="313"/>
      <c r="Q194" s="313"/>
      <c r="R194" s="313"/>
      <c r="T194" s="18"/>
      <c r="U194" s="18"/>
      <c r="V194" s="18"/>
      <c r="W194" s="18"/>
      <c r="Z194" s="18"/>
      <c r="AA194" s="18"/>
      <c r="AB194" s="18"/>
      <c r="AC194" s="18"/>
      <c r="AF194" s="18"/>
      <c r="AG194" s="18"/>
      <c r="AH194" s="18"/>
      <c r="AI194" s="18"/>
      <c r="AL194" s="18"/>
      <c r="AM194" s="18"/>
      <c r="AN194" s="18"/>
      <c r="AO194" s="18"/>
      <c r="AR194" s="18"/>
      <c r="AS194" s="18"/>
      <c r="AT194" s="18"/>
      <c r="AU194" s="18"/>
      <c r="AX194" s="18"/>
      <c r="AY194" s="18"/>
      <c r="AZ194" s="18"/>
      <c r="BA194" s="18"/>
      <c r="BD194" s="18"/>
      <c r="BE194" s="18"/>
      <c r="BF194" s="18"/>
      <c r="BG194" s="18"/>
      <c r="BJ194" s="18"/>
      <c r="BK194" s="18"/>
      <c r="BL194" s="18"/>
      <c r="BM194" s="18"/>
      <c r="BP194" s="18"/>
      <c r="BQ194" s="18"/>
      <c r="BR194" s="18"/>
      <c r="BS194" s="18"/>
      <c r="BV194" s="18"/>
      <c r="BW194" s="18"/>
      <c r="BX194" s="18"/>
      <c r="BY194" s="18"/>
      <c r="CA194" s="18"/>
    </row>
    <row r="195" spans="16:79">
      <c r="P195" s="313"/>
      <c r="Q195" s="313"/>
      <c r="R195" s="313"/>
      <c r="T195" s="18"/>
      <c r="U195" s="18"/>
      <c r="V195" s="18"/>
      <c r="W195" s="18"/>
      <c r="Z195" s="18"/>
      <c r="AA195" s="18"/>
      <c r="AB195" s="18"/>
      <c r="AC195" s="18"/>
      <c r="AF195" s="18"/>
      <c r="AG195" s="18"/>
      <c r="AH195" s="18"/>
      <c r="AI195" s="18"/>
      <c r="AL195" s="18"/>
      <c r="AM195" s="18"/>
      <c r="AN195" s="18"/>
      <c r="AO195" s="18"/>
      <c r="AR195" s="18"/>
      <c r="AS195" s="18"/>
      <c r="AT195" s="18"/>
      <c r="AU195" s="18"/>
      <c r="AX195" s="18"/>
      <c r="AY195" s="18"/>
      <c r="AZ195" s="18"/>
      <c r="BA195" s="18"/>
      <c r="BD195" s="18"/>
      <c r="BE195" s="18"/>
      <c r="BF195" s="18"/>
      <c r="BG195" s="18"/>
      <c r="BJ195" s="18"/>
      <c r="BK195" s="18"/>
      <c r="BL195" s="18"/>
      <c r="BM195" s="18"/>
      <c r="BP195" s="18"/>
      <c r="BQ195" s="18"/>
      <c r="BR195" s="18"/>
      <c r="BS195" s="18"/>
      <c r="BV195" s="18"/>
      <c r="BW195" s="18"/>
      <c r="BX195" s="18"/>
      <c r="BY195" s="18"/>
      <c r="CA195" s="18"/>
    </row>
    <row r="196" spans="16:79">
      <c r="P196" s="313"/>
      <c r="Q196" s="313"/>
      <c r="R196" s="313"/>
      <c r="T196" s="18"/>
      <c r="U196" s="18"/>
      <c r="V196" s="18"/>
      <c r="W196" s="18"/>
      <c r="Z196" s="18"/>
      <c r="AA196" s="18"/>
      <c r="AB196" s="18"/>
      <c r="AC196" s="18"/>
      <c r="AF196" s="18"/>
      <c r="AG196" s="18"/>
      <c r="AH196" s="18"/>
      <c r="AI196" s="18"/>
      <c r="AL196" s="18"/>
      <c r="AM196" s="18"/>
      <c r="AN196" s="18"/>
      <c r="AO196" s="18"/>
      <c r="AR196" s="18"/>
      <c r="AS196" s="18"/>
      <c r="AT196" s="18"/>
      <c r="AU196" s="18"/>
      <c r="AX196" s="18"/>
      <c r="AY196" s="18"/>
      <c r="AZ196" s="18"/>
      <c r="BA196" s="18"/>
      <c r="BD196" s="18"/>
      <c r="BE196" s="18"/>
      <c r="BF196" s="18"/>
      <c r="BG196" s="18"/>
      <c r="BJ196" s="18"/>
      <c r="BK196" s="18"/>
      <c r="BL196" s="18"/>
      <c r="BM196" s="18"/>
      <c r="BP196" s="18"/>
      <c r="BQ196" s="18"/>
      <c r="BR196" s="18"/>
      <c r="BS196" s="18"/>
      <c r="BV196" s="18"/>
      <c r="BW196" s="18"/>
      <c r="BX196" s="18"/>
      <c r="BY196" s="18"/>
      <c r="CA196" s="18"/>
    </row>
    <row r="197" spans="16:79">
      <c r="P197" s="313"/>
      <c r="Q197" s="313"/>
      <c r="R197" s="313"/>
      <c r="T197" s="18"/>
      <c r="U197" s="18"/>
      <c r="V197" s="18"/>
      <c r="W197" s="18"/>
      <c r="Z197" s="18"/>
      <c r="AA197" s="18"/>
      <c r="AB197" s="18"/>
      <c r="AC197" s="18"/>
      <c r="AF197" s="18"/>
      <c r="AG197" s="18"/>
      <c r="AH197" s="18"/>
      <c r="AI197" s="18"/>
      <c r="AL197" s="18"/>
      <c r="AM197" s="18"/>
      <c r="AN197" s="18"/>
      <c r="AO197" s="18"/>
      <c r="AR197" s="18"/>
      <c r="AS197" s="18"/>
      <c r="AT197" s="18"/>
      <c r="AU197" s="18"/>
      <c r="AX197" s="18"/>
      <c r="AY197" s="18"/>
      <c r="AZ197" s="18"/>
      <c r="BA197" s="18"/>
      <c r="BD197" s="18"/>
      <c r="BE197" s="18"/>
      <c r="BF197" s="18"/>
      <c r="BG197" s="18"/>
      <c r="BJ197" s="18"/>
      <c r="BK197" s="18"/>
      <c r="BL197" s="18"/>
      <c r="BM197" s="18"/>
      <c r="BP197" s="18"/>
      <c r="BQ197" s="18"/>
      <c r="BR197" s="18"/>
      <c r="BS197" s="18"/>
      <c r="BV197" s="18"/>
      <c r="BW197" s="18"/>
      <c r="BX197" s="18"/>
      <c r="BY197" s="18"/>
      <c r="CA197" s="18"/>
    </row>
    <row r="198" spans="16:79">
      <c r="P198" s="313"/>
      <c r="Q198" s="313"/>
      <c r="R198" s="313"/>
      <c r="T198" s="18"/>
      <c r="U198" s="18"/>
      <c r="V198" s="18"/>
      <c r="W198" s="18"/>
      <c r="Z198" s="18"/>
      <c r="AA198" s="18"/>
      <c r="AB198" s="18"/>
      <c r="AC198" s="18"/>
      <c r="AF198" s="18"/>
      <c r="AG198" s="18"/>
      <c r="AH198" s="18"/>
      <c r="AI198" s="18"/>
      <c r="AL198" s="18"/>
      <c r="AM198" s="18"/>
      <c r="AN198" s="18"/>
      <c r="AO198" s="18"/>
      <c r="AR198" s="18"/>
      <c r="AS198" s="18"/>
      <c r="AT198" s="18"/>
      <c r="AU198" s="18"/>
      <c r="AX198" s="18"/>
      <c r="AY198" s="18"/>
      <c r="AZ198" s="18"/>
      <c r="BA198" s="18"/>
      <c r="BD198" s="18"/>
      <c r="BE198" s="18"/>
      <c r="BF198" s="18"/>
      <c r="BG198" s="18"/>
      <c r="BJ198" s="18"/>
      <c r="BK198" s="18"/>
      <c r="BL198" s="18"/>
      <c r="BM198" s="18"/>
      <c r="BP198" s="18"/>
      <c r="BQ198" s="18"/>
      <c r="BR198" s="18"/>
      <c r="BS198" s="18"/>
      <c r="BV198" s="18"/>
      <c r="BW198" s="18"/>
      <c r="BX198" s="18"/>
      <c r="BY198" s="18"/>
      <c r="CA198" s="18"/>
    </row>
    <row r="199" spans="16:79">
      <c r="P199" s="313"/>
      <c r="Q199" s="313"/>
      <c r="R199" s="313"/>
      <c r="T199" s="18"/>
      <c r="U199" s="18"/>
      <c r="V199" s="18"/>
      <c r="W199" s="18"/>
      <c r="Z199" s="18"/>
      <c r="AA199" s="18"/>
      <c r="AB199" s="18"/>
      <c r="AC199" s="18"/>
      <c r="AF199" s="18"/>
      <c r="AG199" s="18"/>
      <c r="AH199" s="18"/>
      <c r="AI199" s="18"/>
      <c r="AL199" s="18"/>
      <c r="AM199" s="18"/>
      <c r="AN199" s="18"/>
      <c r="AO199" s="18"/>
      <c r="AR199" s="18"/>
      <c r="AS199" s="18"/>
      <c r="AT199" s="18"/>
      <c r="AU199" s="18"/>
      <c r="AX199" s="18"/>
      <c r="AY199" s="18"/>
      <c r="AZ199" s="18"/>
      <c r="BA199" s="18"/>
      <c r="BD199" s="18"/>
      <c r="BE199" s="18"/>
      <c r="BF199" s="18"/>
      <c r="BG199" s="18"/>
      <c r="BJ199" s="18"/>
      <c r="BK199" s="18"/>
      <c r="BL199" s="18"/>
      <c r="BM199" s="18"/>
      <c r="BP199" s="18"/>
      <c r="BQ199" s="18"/>
      <c r="BR199" s="18"/>
      <c r="BS199" s="18"/>
      <c r="BV199" s="18"/>
      <c r="BW199" s="18"/>
      <c r="BX199" s="18"/>
      <c r="BY199" s="18"/>
      <c r="CA199" s="18"/>
    </row>
    <row r="200" spans="16:79">
      <c r="P200" s="313"/>
      <c r="Q200" s="313"/>
      <c r="R200" s="313"/>
      <c r="T200" s="18"/>
      <c r="U200" s="18"/>
      <c r="V200" s="18"/>
      <c r="W200" s="18"/>
      <c r="Z200" s="18"/>
      <c r="AA200" s="18"/>
      <c r="AB200" s="18"/>
      <c r="AC200" s="18"/>
      <c r="AF200" s="18"/>
      <c r="AG200" s="18"/>
      <c r="AH200" s="18"/>
      <c r="AI200" s="18"/>
      <c r="AL200" s="18"/>
      <c r="AM200" s="18"/>
      <c r="AN200" s="18"/>
      <c r="AO200" s="18"/>
      <c r="AR200" s="18"/>
      <c r="AS200" s="18"/>
      <c r="AT200" s="18"/>
      <c r="AU200" s="18"/>
      <c r="AX200" s="18"/>
      <c r="AY200" s="18"/>
      <c r="AZ200" s="18"/>
      <c r="BA200" s="18"/>
      <c r="BD200" s="18"/>
      <c r="BE200" s="18"/>
      <c r="BF200" s="18"/>
      <c r="BG200" s="18"/>
      <c r="BJ200" s="18"/>
      <c r="BK200" s="18"/>
      <c r="BL200" s="18"/>
      <c r="BM200" s="18"/>
      <c r="BP200" s="18"/>
      <c r="BQ200" s="18"/>
      <c r="BR200" s="18"/>
      <c r="BS200" s="18"/>
      <c r="BV200" s="18"/>
      <c r="BW200" s="18"/>
      <c r="BX200" s="18"/>
      <c r="BY200" s="18"/>
      <c r="CA200" s="18"/>
    </row>
    <row r="201" spans="16:79">
      <c r="P201" s="313"/>
      <c r="Q201" s="313"/>
      <c r="R201" s="313"/>
      <c r="T201" s="18"/>
      <c r="U201" s="18"/>
      <c r="V201" s="18"/>
      <c r="W201" s="18"/>
      <c r="Z201" s="18"/>
      <c r="AA201" s="18"/>
      <c r="AB201" s="18"/>
      <c r="AC201" s="18"/>
      <c r="AF201" s="18"/>
      <c r="AG201" s="18"/>
      <c r="AH201" s="18"/>
      <c r="AI201" s="18"/>
      <c r="AL201" s="18"/>
      <c r="AM201" s="18"/>
      <c r="AN201" s="18"/>
      <c r="AO201" s="18"/>
      <c r="AR201" s="18"/>
      <c r="AS201" s="18"/>
      <c r="AT201" s="18"/>
      <c r="AU201" s="18"/>
      <c r="AX201" s="18"/>
      <c r="AY201" s="18"/>
      <c r="AZ201" s="18"/>
      <c r="BA201" s="18"/>
      <c r="BD201" s="18"/>
      <c r="BE201" s="18"/>
      <c r="BF201" s="18"/>
      <c r="BG201" s="18"/>
      <c r="BJ201" s="18"/>
      <c r="BK201" s="18"/>
      <c r="BL201" s="18"/>
      <c r="BM201" s="18"/>
      <c r="BP201" s="18"/>
      <c r="BQ201" s="18"/>
      <c r="BR201" s="18"/>
      <c r="BS201" s="18"/>
      <c r="BV201" s="18"/>
      <c r="BW201" s="18"/>
      <c r="BX201" s="18"/>
      <c r="BY201" s="18"/>
      <c r="CA201" s="18"/>
    </row>
    <row r="202" spans="16:79">
      <c r="P202" s="313"/>
      <c r="Q202" s="313"/>
      <c r="R202" s="313"/>
      <c r="T202" s="18"/>
      <c r="U202" s="18"/>
      <c r="V202" s="18"/>
      <c r="W202" s="18"/>
      <c r="Z202" s="18"/>
      <c r="AA202" s="18"/>
      <c r="AB202" s="18"/>
      <c r="AC202" s="18"/>
      <c r="AF202" s="18"/>
      <c r="AG202" s="18"/>
      <c r="AH202" s="18"/>
      <c r="AI202" s="18"/>
      <c r="AL202" s="18"/>
      <c r="AM202" s="18"/>
      <c r="AN202" s="18"/>
      <c r="AO202" s="18"/>
      <c r="AR202" s="18"/>
      <c r="AS202" s="18"/>
      <c r="AT202" s="18"/>
      <c r="AU202" s="18"/>
      <c r="AX202" s="18"/>
      <c r="AY202" s="18"/>
      <c r="AZ202" s="18"/>
      <c r="BA202" s="18"/>
      <c r="BD202" s="18"/>
      <c r="BE202" s="18"/>
      <c r="BF202" s="18"/>
      <c r="BG202" s="18"/>
      <c r="BJ202" s="18"/>
      <c r="BK202" s="18"/>
      <c r="BL202" s="18"/>
      <c r="BM202" s="18"/>
      <c r="BP202" s="18"/>
      <c r="BQ202" s="18"/>
      <c r="BR202" s="18"/>
      <c r="BS202" s="18"/>
      <c r="BV202" s="18"/>
      <c r="BW202" s="18"/>
      <c r="BX202" s="18"/>
      <c r="BY202" s="18"/>
      <c r="CA202" s="18"/>
    </row>
    <row r="203" spans="16:79">
      <c r="P203" s="313"/>
      <c r="Q203" s="313"/>
      <c r="R203" s="313"/>
      <c r="T203" s="18"/>
      <c r="U203" s="18"/>
      <c r="V203" s="18"/>
      <c r="W203" s="18"/>
      <c r="Z203" s="18"/>
      <c r="AA203" s="18"/>
      <c r="AB203" s="18"/>
      <c r="AC203" s="18"/>
      <c r="AF203" s="18"/>
      <c r="AG203" s="18"/>
      <c r="AH203" s="18"/>
      <c r="AI203" s="18"/>
      <c r="AL203" s="18"/>
      <c r="AM203" s="18"/>
      <c r="AN203" s="18"/>
      <c r="AO203" s="18"/>
      <c r="AR203" s="18"/>
      <c r="AS203" s="18"/>
      <c r="AT203" s="18"/>
      <c r="AU203" s="18"/>
      <c r="AX203" s="18"/>
      <c r="AY203" s="18"/>
      <c r="AZ203" s="18"/>
      <c r="BA203" s="18"/>
      <c r="BD203" s="18"/>
      <c r="BE203" s="18"/>
      <c r="BF203" s="18"/>
      <c r="BG203" s="18"/>
      <c r="BJ203" s="18"/>
      <c r="BK203" s="18"/>
      <c r="BL203" s="18"/>
      <c r="BM203" s="18"/>
      <c r="BP203" s="18"/>
      <c r="BQ203" s="18"/>
      <c r="BR203" s="18"/>
      <c r="BS203" s="18"/>
      <c r="BV203" s="18"/>
      <c r="BW203" s="18"/>
      <c r="BX203" s="18"/>
      <c r="BY203" s="18"/>
      <c r="CA203" s="18"/>
    </row>
    <row r="204" spans="16:79">
      <c r="P204" s="313"/>
      <c r="Q204" s="313"/>
      <c r="R204" s="313"/>
      <c r="T204" s="18"/>
      <c r="U204" s="18"/>
      <c r="V204" s="18"/>
      <c r="W204" s="18"/>
      <c r="Z204" s="18"/>
      <c r="AA204" s="18"/>
      <c r="AB204" s="18"/>
      <c r="AC204" s="18"/>
      <c r="AF204" s="18"/>
      <c r="AG204" s="18"/>
      <c r="AH204" s="18"/>
      <c r="AI204" s="18"/>
      <c r="AL204" s="18"/>
      <c r="AM204" s="18"/>
      <c r="AN204" s="18"/>
      <c r="AO204" s="18"/>
      <c r="AR204" s="18"/>
      <c r="AS204" s="18"/>
      <c r="AT204" s="18"/>
      <c r="AU204" s="18"/>
      <c r="AX204" s="18"/>
      <c r="AY204" s="18"/>
      <c r="AZ204" s="18"/>
      <c r="BA204" s="18"/>
      <c r="BD204" s="18"/>
      <c r="BE204" s="18"/>
      <c r="BF204" s="18"/>
      <c r="BG204" s="18"/>
      <c r="BJ204" s="18"/>
      <c r="BK204" s="18"/>
      <c r="BL204" s="18"/>
      <c r="BM204" s="18"/>
      <c r="BP204" s="18"/>
      <c r="BQ204" s="18"/>
      <c r="BR204" s="18"/>
      <c r="BS204" s="18"/>
      <c r="BV204" s="18"/>
      <c r="BW204" s="18"/>
      <c r="BX204" s="18"/>
      <c r="BY204" s="18"/>
      <c r="CA204" s="18"/>
    </row>
    <row r="205" spans="16:79">
      <c r="P205" s="313"/>
      <c r="Q205" s="313"/>
      <c r="R205" s="313"/>
      <c r="T205" s="18"/>
      <c r="U205" s="18"/>
      <c r="V205" s="18"/>
      <c r="W205" s="18"/>
      <c r="Z205" s="18"/>
      <c r="AA205" s="18"/>
      <c r="AB205" s="18"/>
      <c r="AC205" s="18"/>
      <c r="AF205" s="18"/>
      <c r="AG205" s="18"/>
      <c r="AH205" s="18"/>
      <c r="AI205" s="18"/>
      <c r="AL205" s="18"/>
      <c r="AM205" s="18"/>
      <c r="AN205" s="18"/>
      <c r="AO205" s="18"/>
      <c r="AR205" s="18"/>
      <c r="AS205" s="18"/>
      <c r="AT205" s="18"/>
      <c r="AU205" s="18"/>
      <c r="AX205" s="18"/>
      <c r="AY205" s="18"/>
      <c r="AZ205" s="18"/>
      <c r="BA205" s="18"/>
      <c r="BD205" s="18"/>
      <c r="BE205" s="18"/>
      <c r="BF205" s="18"/>
      <c r="BG205" s="18"/>
      <c r="BJ205" s="18"/>
      <c r="BK205" s="18"/>
      <c r="BL205" s="18"/>
      <c r="BM205" s="18"/>
      <c r="BP205" s="18"/>
      <c r="BQ205" s="18"/>
      <c r="BR205" s="18"/>
      <c r="BS205" s="18"/>
      <c r="BV205" s="18"/>
      <c r="BW205" s="18"/>
      <c r="BX205" s="18"/>
      <c r="BY205" s="18"/>
      <c r="CA205" s="18"/>
    </row>
  </sheetData>
  <dataConsolidate/>
  <mergeCells count="174">
    <mergeCell ref="N38:N40"/>
    <mergeCell ref="K16:K18"/>
    <mergeCell ref="M16:M18"/>
    <mergeCell ref="I16:I18"/>
    <mergeCell ref="K25:K28"/>
    <mergeCell ref="M25:M28"/>
    <mergeCell ref="O38:O40"/>
    <mergeCell ref="T2:X2"/>
    <mergeCell ref="K31:K32"/>
    <mergeCell ref="M31:M32"/>
    <mergeCell ref="K29:K30"/>
    <mergeCell ref="M29:M30"/>
    <mergeCell ref="K34:K35"/>
    <mergeCell ref="M34:M35"/>
    <mergeCell ref="O16:O18"/>
    <mergeCell ref="P16:P18"/>
    <mergeCell ref="Q16:Q18"/>
    <mergeCell ref="R16:R18"/>
    <mergeCell ref="W16:W18"/>
    <mergeCell ref="Z2:AD2"/>
    <mergeCell ref="AF2:AJ2"/>
    <mergeCell ref="AL2:AP2"/>
    <mergeCell ref="AR2:AV2"/>
    <mergeCell ref="AX2:BB2"/>
    <mergeCell ref="BD2:BH2"/>
    <mergeCell ref="BJ2:BN2"/>
    <mergeCell ref="K38:K40"/>
    <mergeCell ref="A4:A6"/>
    <mergeCell ref="B4:B6"/>
    <mergeCell ref="J2:O2"/>
    <mergeCell ref="A29:A30"/>
    <mergeCell ref="B29:B30"/>
    <mergeCell ref="H29:H30"/>
    <mergeCell ref="I29:I30"/>
    <mergeCell ref="U29:U30"/>
    <mergeCell ref="W29:W30"/>
    <mergeCell ref="AO25:AO28"/>
    <mergeCell ref="AS25:AS28"/>
    <mergeCell ref="AU25:AU28"/>
    <mergeCell ref="H25:H28"/>
    <mergeCell ref="I25:I28"/>
    <mergeCell ref="U25:U28"/>
    <mergeCell ref="W25:W28"/>
    <mergeCell ref="BP2:BT2"/>
    <mergeCell ref="BV2:BZ2"/>
    <mergeCell ref="A19:A21"/>
    <mergeCell ref="B19:B21"/>
    <mergeCell ref="A22:A24"/>
    <mergeCell ref="B22:B24"/>
    <mergeCell ref="A25:A28"/>
    <mergeCell ref="B25:B28"/>
    <mergeCell ref="A7:A10"/>
    <mergeCell ref="B7:B10"/>
    <mergeCell ref="A13:A15"/>
    <mergeCell ref="B13:B15"/>
    <mergeCell ref="A16:A18"/>
    <mergeCell ref="B16:B18"/>
    <mergeCell ref="BY25:BY28"/>
    <mergeCell ref="AY25:AY28"/>
    <mergeCell ref="BA25:BA28"/>
    <mergeCell ref="BE25:BE28"/>
    <mergeCell ref="BG25:BG28"/>
    <mergeCell ref="BK25:BK28"/>
    <mergeCell ref="BM25:BM28"/>
    <mergeCell ref="AG25:AG28"/>
    <mergeCell ref="AI25:AI28"/>
    <mergeCell ref="AM25:AM28"/>
    <mergeCell ref="AA25:AA28"/>
    <mergeCell ref="AA29:AA30"/>
    <mergeCell ref="AC29:AC30"/>
    <mergeCell ref="AG29:AG30"/>
    <mergeCell ref="AI29:AI30"/>
    <mergeCell ref="AM29:AM30"/>
    <mergeCell ref="AO29:AO30"/>
    <mergeCell ref="BQ25:BQ28"/>
    <mergeCell ref="BS25:BS28"/>
    <mergeCell ref="BW25:BW28"/>
    <mergeCell ref="AC25:AC28"/>
    <mergeCell ref="BK29:BK30"/>
    <mergeCell ref="BM29:BM30"/>
    <mergeCell ref="BQ29:BQ30"/>
    <mergeCell ref="BS29:BS30"/>
    <mergeCell ref="BW29:BW30"/>
    <mergeCell ref="BY29:BY30"/>
    <mergeCell ref="AS29:AS30"/>
    <mergeCell ref="AU29:AU30"/>
    <mergeCell ref="AY29:AY30"/>
    <mergeCell ref="BA29:BA30"/>
    <mergeCell ref="BE29:BE30"/>
    <mergeCell ref="BG29:BG30"/>
    <mergeCell ref="BS31:BS32"/>
    <mergeCell ref="BW31:BW32"/>
    <mergeCell ref="BY31:BY32"/>
    <mergeCell ref="AS31:AS32"/>
    <mergeCell ref="AU31:AU32"/>
    <mergeCell ref="AY31:AY32"/>
    <mergeCell ref="BA31:BA32"/>
    <mergeCell ref="BE31:BE32"/>
    <mergeCell ref="BG31:BG32"/>
    <mergeCell ref="BK31:BK32"/>
    <mergeCell ref="BM31:BM32"/>
    <mergeCell ref="BQ31:BQ32"/>
    <mergeCell ref="A31:A32"/>
    <mergeCell ref="B31:B32"/>
    <mergeCell ref="H31:H32"/>
    <mergeCell ref="I31:I32"/>
    <mergeCell ref="U31:U32"/>
    <mergeCell ref="W31:W32"/>
    <mergeCell ref="AU34:AU35"/>
    <mergeCell ref="AY34:AY35"/>
    <mergeCell ref="BA34:BA35"/>
    <mergeCell ref="AA31:AA32"/>
    <mergeCell ref="AC31:AC32"/>
    <mergeCell ref="AG31:AG32"/>
    <mergeCell ref="AI31:AI32"/>
    <mergeCell ref="AM31:AM32"/>
    <mergeCell ref="AO31:AO32"/>
    <mergeCell ref="BY38:BY40"/>
    <mergeCell ref="AY38:AY40"/>
    <mergeCell ref="BA38:BA40"/>
    <mergeCell ref="BE34:BE35"/>
    <mergeCell ref="W34:W35"/>
    <mergeCell ref="AA34:AA35"/>
    <mergeCell ref="AC34:AC35"/>
    <mergeCell ref="AG34:AG35"/>
    <mergeCell ref="AI34:AI35"/>
    <mergeCell ref="AM34:AM35"/>
    <mergeCell ref="AG38:AG40"/>
    <mergeCell ref="AI38:AI40"/>
    <mergeCell ref="AM38:AM40"/>
    <mergeCell ref="AO38:AO40"/>
    <mergeCell ref="AS38:AS40"/>
    <mergeCell ref="AU38:AU40"/>
    <mergeCell ref="BE38:BE40"/>
    <mergeCell ref="BG38:BG40"/>
    <mergeCell ref="BK38:BK40"/>
    <mergeCell ref="BM38:BM40"/>
    <mergeCell ref="BY34:BY35"/>
    <mergeCell ref="BG34:BG35"/>
    <mergeCell ref="BK34:BK35"/>
    <mergeCell ref="BM34:BM35"/>
    <mergeCell ref="BQ34:BQ35"/>
    <mergeCell ref="BS34:BS35"/>
    <mergeCell ref="BW34:BW35"/>
    <mergeCell ref="AO34:AO35"/>
    <mergeCell ref="AS34:AS35"/>
    <mergeCell ref="BQ38:BQ40"/>
    <mergeCell ref="BS38:BS40"/>
    <mergeCell ref="BW38:BW40"/>
    <mergeCell ref="A38:A40"/>
    <mergeCell ref="B38:B40"/>
    <mergeCell ref="H38:H40"/>
    <mergeCell ref="G38:G40"/>
    <mergeCell ref="I38:I40"/>
    <mergeCell ref="U38:U40"/>
    <mergeCell ref="W38:W40"/>
    <mergeCell ref="AA38:AA40"/>
    <mergeCell ref="AC38:AC40"/>
    <mergeCell ref="A34:A35"/>
    <mergeCell ref="B34:B35"/>
    <mergeCell ref="H34:H35"/>
    <mergeCell ref="G34:G35"/>
    <mergeCell ref="I34:I35"/>
    <mergeCell ref="U34:U35"/>
    <mergeCell ref="M38:M40"/>
    <mergeCell ref="AC16:AC18"/>
    <mergeCell ref="AI16:AI18"/>
    <mergeCell ref="AO16:AO18"/>
    <mergeCell ref="AU16:AU18"/>
    <mergeCell ref="BA16:BA18"/>
    <mergeCell ref="BG16:BG18"/>
    <mergeCell ref="BM16:BM18"/>
    <mergeCell ref="BS16:BS18"/>
    <mergeCell ref="BY16:BY18"/>
  </mergeCells>
  <phoneticPr fontId="3" type="noConversion"/>
  <conditionalFormatting sqref="X4:X40 AD4:AD40 BZ4:BZ40 AJ4:AJ40 AP4:AP40 AV4:AV40 BB4:BB40 BH4:BH40 BN4:BN40 BT4:BT40">
    <cfRule type="cellIs" dxfId="190" priority="128" operator="lessThan">
      <formula>-0.3</formula>
    </cfRule>
    <cfRule type="cellIs" dxfId="189" priority="129" operator="greaterThan">
      <formula>0.3</formula>
    </cfRule>
  </conditionalFormatting>
  <conditionalFormatting sqref="U4 AA4 AG4 AM4 AS4 AY4 BE4 BK4 BQ4 BW4 W4 AC4 AI4 AO4 AU4 BA4 BG4 BM4 BS4 BY4">
    <cfRule type="cellIs" dxfId="188" priority="127" operator="notEqual">
      <formula>$I$4</formula>
    </cfRule>
  </conditionalFormatting>
  <conditionalFormatting sqref="U7 AA7 AG7 AM7 AS7 AY7 BE7 BK7 BQ7 BW7 W7 AC7 AI7 AO7 AU7 BA7 BG7 BM7 BS7 BY7">
    <cfRule type="cellIs" dxfId="187" priority="126" operator="notEqual">
      <formula>$I$7</formula>
    </cfRule>
  </conditionalFormatting>
  <conditionalFormatting sqref="U11 AA11 AG11 AM11 AS11 AY11 BE11 BK11 BQ11 BW11 W11 AC11 AI11 AO11 AU11 BA11 BG11 BM11 BS11 BY11">
    <cfRule type="cellIs" dxfId="186" priority="125" operator="notEqual">
      <formula>$I$11</formula>
    </cfRule>
  </conditionalFormatting>
  <conditionalFormatting sqref="U13 AA13 AG13 AM13 AS13 AY13 BE13 BK13 BQ13 BW13 W13 AC13 AI13 AO13 AU13 BA13 BG13 BM13 BS13 BY13">
    <cfRule type="cellIs" dxfId="185" priority="124" operator="notEqual">
      <formula>$I$13</formula>
    </cfRule>
  </conditionalFormatting>
  <conditionalFormatting sqref="U19 AA19 AG19 AM19 AS19 AY19 BE19 BK19 BQ19 BW19 W19 AC19 AI19 AO19 AU19 BA19 BG19 BM19 BS19 BY19">
    <cfRule type="cellIs" dxfId="184" priority="123" operator="notEqual">
      <formula>$I$19</formula>
    </cfRule>
  </conditionalFormatting>
  <conditionalFormatting sqref="U22 AA22 AG22 AM22 AS22 AY22 BE22 BK22 BQ22 BW22 W22 AC22 AI22 AO22 AU22 BA22 BG22 BM22 BS22 BY22">
    <cfRule type="cellIs" dxfId="183" priority="122" operator="notEqual">
      <formula>$I$22</formula>
    </cfRule>
  </conditionalFormatting>
  <conditionalFormatting sqref="U25:U28 AA25:AA28 AG25:AG28 AM25:AM28 AS25:AS28 AY25:AY28 BE25:BE28 BK25:BK28 BQ25:BQ28 BW25:BW28 W25:W28 AC25:AC28 AI25:AI28 AO25:AO28 AU25:AU28 BA25:BA28 BG25:BG28 BM25:BM28 BS25:BS28 BY25:BY28">
    <cfRule type="cellIs" dxfId="182" priority="121" operator="notEqual">
      <formula>$I$25</formula>
    </cfRule>
  </conditionalFormatting>
  <conditionalFormatting sqref="U29:U30 AA29:AA30 AG29:AG30 AM29:AM30 AS29:AS30 AY29:AY30 BE29:BE30 BK29:BK30 BQ29:BQ30 BW29:BW30 W29:W30 AC29:AC30 AI29:AI30 AO29:AO30 AU29:AU30 BA29:BA30 BG29:BG30 BM29:BM30 BS29:BS30 BY29:BY30">
    <cfRule type="cellIs" dxfId="181" priority="120" operator="notEqual">
      <formula>$I$29</formula>
    </cfRule>
  </conditionalFormatting>
  <conditionalFormatting sqref="U31:U32 AA31:AA32 AG31:AG32 AM31:AM32 AS31:AS32 AY31:AY32 BE31:BE32 BK31:BK32 BQ31:BQ32 BW31:BW32 W31:W32 AC31:AC32 AI31:AI32 AO31:AO32 AU31:AU32 BA31:BA32 BG31:BG32 BM31:BM32 BS31:BS32 BY31:BY32">
    <cfRule type="cellIs" dxfId="180" priority="119" operator="notEqual">
      <formula>$I$31</formula>
    </cfRule>
  </conditionalFormatting>
  <conditionalFormatting sqref="U34:U35 AA34:AA35 AG34:AG35 AM34:AM35 AS34:AS35 AY34:AY35 BE34:BE35 BK34:BK35 BQ34:BQ35 BW34:BW35 W34:W35 AC34:AC35 AI34:AI35 AO34:AO35 AU34:AU35 BA34:BA35 BG34:BG35 BM34:BM35 BS34:BS35 BY34:BY35">
    <cfRule type="cellIs" dxfId="179" priority="118" operator="notEqual">
      <formula>$I$34</formula>
    </cfRule>
  </conditionalFormatting>
  <conditionalFormatting sqref="BZ4:BZ40 X4:X40 AD4:AD40 AJ4:AJ40 AP4:AP40 AV4:AV40 BB4:BB40 BH4:BH40 BN4:BN40 BT4:BT40">
    <cfRule type="cellIs" dxfId="178" priority="116" stopIfTrue="1" operator="lessThanOrEqual">
      <formula>-0.3</formula>
    </cfRule>
    <cfRule type="cellIs" dxfId="177" priority="117" stopIfTrue="1" operator="greaterThanOrEqual">
      <formula>0.3</formula>
    </cfRule>
  </conditionalFormatting>
  <conditionalFormatting sqref="O34:R38 O19:R32 O5:R16">
    <cfRule type="expression" dxfId="176" priority="14">
      <formula>$O5&lt;&gt;0</formula>
    </cfRule>
  </conditionalFormatting>
  <conditionalFormatting sqref="O4:R4">
    <cfRule type="expression" dxfId="175" priority="13">
      <formula>$O4&lt;&gt;0</formula>
    </cfRule>
  </conditionalFormatting>
  <conditionalFormatting sqref="O19:R32 O5:R16">
    <cfRule type="expression" dxfId="174" priority="12">
      <formula>$O5&lt;&gt;0</formula>
    </cfRule>
  </conditionalFormatting>
  <conditionalFormatting sqref="P34:R40 P5:R16 P19:R32">
    <cfRule type="expression" dxfId="173" priority="11">
      <formula>$I5&gt;$M5</formula>
    </cfRule>
  </conditionalFormatting>
  <conditionalFormatting sqref="P4:R4 R34:R40 R5:R16 R19:R32">
    <cfRule type="expression" dxfId="172" priority="9">
      <formula>$I4&gt;$M4</formula>
    </cfRule>
  </conditionalFormatting>
  <conditionalFormatting sqref="Q34:Q40 Q5:Q16 Q19:Q32">
    <cfRule type="expression" dxfId="171" priority="8">
      <formula>$I5&gt;$M5</formula>
    </cfRule>
  </conditionalFormatting>
  <conditionalFormatting sqref="R34:R40 R5:R16 R19:R32">
    <cfRule type="expression" dxfId="170" priority="7">
      <formula>$I5&gt;$M5</formula>
    </cfRule>
  </conditionalFormatting>
  <conditionalFormatting sqref="N4:N40">
    <cfRule type="cellIs" dxfId="169" priority="5" operator="lessThan">
      <formula>0</formula>
    </cfRule>
    <cfRule type="cellIs" dxfId="168" priority="6" operator="greaterThan">
      <formula>0</formula>
    </cfRule>
  </conditionalFormatting>
  <conditionalFormatting sqref="O16">
    <cfRule type="expression" dxfId="167" priority="3">
      <formula>$I16&gt;$M16</formula>
    </cfRule>
  </conditionalFormatting>
  <conditionalFormatting sqref="O7">
    <cfRule type="expression" dxfId="166" priority="2">
      <formula>$I7&gt;$M7</formula>
    </cfRule>
  </conditionalFormatting>
  <conditionalFormatting sqref="O4">
    <cfRule type="expression" dxfId="165" priority="1">
      <formula>$I4&gt;$M4</formula>
    </cfRule>
  </conditionalFormatting>
  <dataValidations disablePrompts="1" count="1">
    <dataValidation type="list" allowBlank="1" showInputMessage="1" showErrorMessage="1" sqref="A36:B37 A12:B12">
      <formula1>#REF!</formula1>
    </dataValidation>
  </dataValidations>
  <hyperlinks>
    <hyperlink ref="D52" location="权重!A1" display="权重!A1"/>
    <hyperlink ref="D53" location="目录!A1" display="目录!A1"/>
  </hyperlinks>
  <pageMargins left="0.7" right="0.7" top="0.75" bottom="0.75" header="0.3" footer="0.3"/>
  <pageSetup paperSize="9" orientation="portrait" horizontalDpi="4294967295" verticalDpi="4294967295" r:id="rId1"/>
  <legacyDrawing r:id="rId2"/>
</worksheet>
</file>

<file path=xl/worksheets/sheet15.xml><?xml version="1.0" encoding="utf-8"?>
<worksheet xmlns="http://schemas.openxmlformats.org/spreadsheetml/2006/main" xmlns:r="http://schemas.openxmlformats.org/officeDocument/2006/relationships">
  <sheetPr>
    <tabColor rgb="FF92D050"/>
  </sheetPr>
  <dimension ref="A1:C20"/>
  <sheetViews>
    <sheetView workbookViewId="0">
      <selection activeCell="C22" sqref="C22"/>
    </sheetView>
  </sheetViews>
  <sheetFormatPr defaultRowHeight="13.5"/>
  <cols>
    <col min="1" max="1" width="7.25" bestFit="1" customWidth="1"/>
    <col min="2" max="2" width="27.125" bestFit="1" customWidth="1"/>
    <col min="3" max="3" width="64.875" customWidth="1"/>
  </cols>
  <sheetData>
    <row r="1" spans="1:3" ht="14.25" thickBot="1">
      <c r="A1" s="374" t="s">
        <v>1215</v>
      </c>
      <c r="B1" s="375" t="s">
        <v>1595</v>
      </c>
    </row>
    <row r="2" spans="1:3" ht="14.25" thickBot="1">
      <c r="A2" s="376" t="s">
        <v>1596</v>
      </c>
      <c r="B2" s="377" t="s">
        <v>1597</v>
      </c>
      <c r="C2">
        <v>1</v>
      </c>
    </row>
    <row r="3" spans="1:3" ht="14.25" thickBot="1">
      <c r="A3" s="376" t="s">
        <v>1598</v>
      </c>
      <c r="B3" s="377" t="s">
        <v>1599</v>
      </c>
      <c r="C3">
        <v>13</v>
      </c>
    </row>
    <row r="4" spans="1:3" ht="14.25" thickBot="1">
      <c r="A4" s="474" t="s">
        <v>1600</v>
      </c>
      <c r="B4" s="475" t="s">
        <v>1601</v>
      </c>
      <c r="C4" s="476">
        <v>614</v>
      </c>
    </row>
    <row r="5" spans="1:3" ht="14.25" thickBot="1">
      <c r="A5" s="474" t="s">
        <v>1602</v>
      </c>
      <c r="B5" s="475" t="s">
        <v>1603</v>
      </c>
      <c r="C5" s="476">
        <v>59</v>
      </c>
    </row>
    <row r="6" spans="1:3" ht="14.25" thickBot="1">
      <c r="A6" s="474" t="s">
        <v>1604</v>
      </c>
      <c r="B6" s="475" t="s">
        <v>1605</v>
      </c>
      <c r="C6" s="476">
        <v>0</v>
      </c>
    </row>
    <row r="8" spans="1:3" ht="14.25" thickBot="1"/>
    <row r="9" spans="1:3" ht="14.25" thickBot="1">
      <c r="A9" s="374" t="s">
        <v>1215</v>
      </c>
      <c r="B9" s="375" t="s">
        <v>1606</v>
      </c>
      <c r="C9" s="375" t="s">
        <v>1607</v>
      </c>
    </row>
    <row r="10" spans="1:3" ht="14.25" thickBot="1">
      <c r="A10" s="378" t="s">
        <v>1608</v>
      </c>
      <c r="B10" s="377" t="s">
        <v>1609</v>
      </c>
      <c r="C10" s="377" t="s">
        <v>1610</v>
      </c>
    </row>
    <row r="11" spans="1:3" ht="14.25" thickBot="1">
      <c r="A11" s="378" t="s">
        <v>1611</v>
      </c>
      <c r="B11" s="377" t="s">
        <v>1609</v>
      </c>
      <c r="C11" s="377" t="s">
        <v>1612</v>
      </c>
    </row>
    <row r="12" spans="1:3" ht="14.25" thickBot="1">
      <c r="A12" s="378" t="s">
        <v>1598</v>
      </c>
      <c r="B12" s="377" t="s">
        <v>1609</v>
      </c>
      <c r="C12" s="377" t="s">
        <v>1613</v>
      </c>
    </row>
    <row r="13" spans="1:3" ht="14.25" thickBot="1">
      <c r="A13" s="378" t="s">
        <v>1614</v>
      </c>
      <c r="B13" s="377" t="s">
        <v>1609</v>
      </c>
      <c r="C13" s="377" t="s">
        <v>1615</v>
      </c>
    </row>
    <row r="14" spans="1:3" ht="14.25" thickBot="1">
      <c r="A14" s="378" t="s">
        <v>1604</v>
      </c>
      <c r="B14" s="377" t="s">
        <v>1609</v>
      </c>
      <c r="C14" s="377" t="s">
        <v>1616</v>
      </c>
    </row>
    <row r="15" spans="1:3" ht="14.25" thickBot="1">
      <c r="A15" s="378" t="s">
        <v>1617</v>
      </c>
      <c r="B15" s="377" t="s">
        <v>1618</v>
      </c>
      <c r="C15" s="377" t="s">
        <v>1619</v>
      </c>
    </row>
    <row r="16" spans="1:3" ht="14.25">
      <c r="A16" s="379"/>
    </row>
    <row r="17" spans="1:3">
      <c r="A17" s="1619" t="s">
        <v>1620</v>
      </c>
      <c r="B17" s="1619"/>
      <c r="C17" s="1619"/>
    </row>
    <row r="18" spans="1:3" ht="34.15" customHeight="1">
      <c r="A18" s="1620" t="s">
        <v>1621</v>
      </c>
      <c r="B18" s="1620"/>
      <c r="C18" s="1620"/>
    </row>
    <row r="19" spans="1:3" ht="61.9" customHeight="1">
      <c r="A19" s="1620" t="s">
        <v>1622</v>
      </c>
      <c r="B19" s="1620"/>
      <c r="C19" s="1620"/>
    </row>
    <row r="20" spans="1:3" ht="15.75">
      <c r="A20" s="380"/>
    </row>
  </sheetData>
  <mergeCells count="3">
    <mergeCell ref="A17:C17"/>
    <mergeCell ref="A18:C18"/>
    <mergeCell ref="A19:C19"/>
  </mergeCells>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theme="5" tint="-0.249977111117893"/>
  </sheetPr>
  <dimension ref="A1:I13"/>
  <sheetViews>
    <sheetView workbookViewId="0">
      <selection activeCell="G34" sqref="G34"/>
    </sheetView>
  </sheetViews>
  <sheetFormatPr defaultRowHeight="13.5" outlineLevelCol="1"/>
  <cols>
    <col min="1" max="1" width="13.875" bestFit="1" customWidth="1"/>
    <col min="2" max="3" width="9.5" customWidth="1" outlineLevel="1"/>
    <col min="4" max="4" width="8.5" customWidth="1" outlineLevel="1"/>
    <col min="5" max="5" width="9.625" customWidth="1" outlineLevel="1"/>
    <col min="6" max="6" width="10.5" bestFit="1" customWidth="1"/>
    <col min="7" max="7" width="9.5" bestFit="1" customWidth="1"/>
  </cols>
  <sheetData>
    <row r="1" spans="1:9">
      <c r="A1" s="401"/>
      <c r="B1" s="1622" t="s">
        <v>1641</v>
      </c>
      <c r="C1" s="1622"/>
      <c r="D1" s="1621" t="s">
        <v>1642</v>
      </c>
      <c r="E1" s="1621"/>
      <c r="F1" s="418" t="s">
        <v>1710</v>
      </c>
      <c r="G1" s="418" t="s">
        <v>1655</v>
      </c>
    </row>
    <row r="2" spans="1:9">
      <c r="A2" s="401"/>
      <c r="B2" s="405" t="s">
        <v>590</v>
      </c>
      <c r="C2" s="402" t="s">
        <v>1643</v>
      </c>
      <c r="D2" s="403" t="s">
        <v>590</v>
      </c>
      <c r="E2" s="404" t="s">
        <v>1643</v>
      </c>
      <c r="F2" s="406" t="s">
        <v>1644</v>
      </c>
      <c r="G2" s="406" t="s">
        <v>1644</v>
      </c>
    </row>
    <row r="3" spans="1:9">
      <c r="A3" s="401" t="s">
        <v>1183</v>
      </c>
      <c r="B3" s="408">
        <f>'OR10-资金运用'!X69</f>
        <v>69.5</v>
      </c>
      <c r="C3" s="408">
        <f>'OR10-资金运用'!X70</f>
        <v>69.5</v>
      </c>
      <c r="D3" s="416"/>
      <c r="E3" s="416"/>
      <c r="F3" s="407">
        <f t="shared" ref="F3:F13" si="0">SUM(B3,D3)/SUM(C3,E3)*100</f>
        <v>100</v>
      </c>
      <c r="G3" s="407">
        <v>100</v>
      </c>
    </row>
    <row r="4" spans="1:9">
      <c r="A4" s="401" t="s">
        <v>1647</v>
      </c>
      <c r="B4" s="408">
        <f>'OR15-准备金再保险'!Z26</f>
        <v>70.86363636363636</v>
      </c>
      <c r="C4" s="408">
        <f>'OR15-准备金再保险'!Z27</f>
        <v>73.5</v>
      </c>
      <c r="D4" s="416"/>
      <c r="E4" s="416"/>
      <c r="F4" s="407">
        <f t="shared" si="0"/>
        <v>96.41311069882498</v>
      </c>
      <c r="G4" s="407">
        <f>'OR15-准备金再保险'!AC29</f>
        <v>93.692022263450824</v>
      </c>
    </row>
    <row r="5" spans="1:9">
      <c r="A5" s="401" t="s">
        <v>1650</v>
      </c>
      <c r="B5" s="408">
        <f>'OR10-资金运用'!Z69+'OR02-销售承保'!AS46*0.3+信息系统!K140+'OR12-财务管理'!AG43*0.6</f>
        <v>98.829999999999927</v>
      </c>
      <c r="C5" s="408">
        <f>'OR10-资金运用'!Z70+'OR02-销售承保'!AS47*0.3+信息系统!K141+'OR12-财务管理'!AG45*0.6</f>
        <v>110.44999999999996</v>
      </c>
      <c r="D5" s="416" t="e">
        <f>'OR04-分公司销售、承保、保全'!CQ87*0.7+'OR08-分公司理赔'!CF52*0.7+'OR13-分公司财务管理'!#REF!*0.4</f>
        <v>#REF!</v>
      </c>
      <c r="E5" s="416" t="e">
        <f>'OR04-分公司销售、承保、保全'!CQ88*0.7+'OR08-分公司理赔'!CF53*0.7+'OR13-分公司财务管理'!#REF!*0.4</f>
        <v>#REF!</v>
      </c>
      <c r="F5" s="407" t="e">
        <f t="shared" si="0"/>
        <v>#REF!</v>
      </c>
      <c r="G5" s="407">
        <v>90.464396284829661</v>
      </c>
      <c r="I5" s="137"/>
    </row>
    <row r="6" spans="1:9">
      <c r="A6" s="401" t="s">
        <v>1661</v>
      </c>
      <c r="B6" s="408">
        <f>'OR12-财务管理'!AA43*0.6+'OR10-资金运用'!AB69</f>
        <v>27</v>
      </c>
      <c r="C6" s="408">
        <f>'OR12-财务管理'!AA45*0.6+'OR10-资金运用'!AB70</f>
        <v>37.799999999999997</v>
      </c>
      <c r="D6" s="416">
        <f>'OR13-分公司财务管理'!CE58*0.4</f>
        <v>20.34</v>
      </c>
      <c r="E6" s="416">
        <f>'OR13-分公司财务管理'!CE59*0.4</f>
        <v>20.6</v>
      </c>
      <c r="F6" s="407">
        <f t="shared" si="0"/>
        <v>81.061643835616451</v>
      </c>
      <c r="G6" s="407">
        <v>91.01045296167247</v>
      </c>
      <c r="H6" s="417"/>
      <c r="I6" s="137"/>
    </row>
    <row r="7" spans="1:9">
      <c r="A7" s="401" t="s">
        <v>1662</v>
      </c>
      <c r="B7" s="408">
        <f>'OR12-财务管理'!AC43*0.6</f>
        <v>33.9</v>
      </c>
      <c r="C7" s="408">
        <f>'OR12-财务管理'!AC45*0.6</f>
        <v>41.699999999999996</v>
      </c>
      <c r="D7" s="416">
        <f>'OR13-分公司财务管理'!CG58*0.4</f>
        <v>26.1</v>
      </c>
      <c r="E7" s="416">
        <f>'OR13-分公司财务管理'!CG59*0.4</f>
        <v>26.400000000000002</v>
      </c>
      <c r="F7" s="407">
        <f t="shared" si="0"/>
        <v>88.105726872246706</v>
      </c>
      <c r="G7" s="407">
        <v>94.684287812041106</v>
      </c>
      <c r="H7" s="417"/>
      <c r="I7" s="137"/>
    </row>
    <row r="8" spans="1:9">
      <c r="A8" s="401" t="s">
        <v>1671</v>
      </c>
      <c r="B8" s="408" t="e">
        <f>'OR02-销售承保'!AG46*0.3+'OR06-理赔保全'!#REF!*0.3</f>
        <v>#REF!</v>
      </c>
      <c r="C8" s="408" t="e">
        <f>'OR02-销售承保'!AG47*0.3+'OR06-理赔保全'!#REF!*0.3</f>
        <v>#REF!</v>
      </c>
      <c r="D8" s="416">
        <f>'OR04-分公司销售、承保、保全'!CE87*0.7+'OR08-分公司理赔'!CD52*0.7</f>
        <v>90.36999999999999</v>
      </c>
      <c r="E8" s="416">
        <f>'OR04-分公司销售、承保、保全'!CE88*0.7+'OR08-分公司理赔'!CD53*0.7</f>
        <v>92.399999999999991</v>
      </c>
      <c r="F8" s="407" t="e">
        <f t="shared" si="0"/>
        <v>#REF!</v>
      </c>
      <c r="G8" s="407">
        <v>95.43035010751835</v>
      </c>
      <c r="I8" s="137"/>
    </row>
    <row r="9" spans="1:9">
      <c r="A9" s="401" t="s">
        <v>1672</v>
      </c>
      <c r="B9" s="408">
        <f>'OR02-销售承保'!AI46*0.3</f>
        <v>18.264548211225286</v>
      </c>
      <c r="C9" s="408">
        <f>'OR02-销售承保'!AI47*0.3</f>
        <v>22.8</v>
      </c>
      <c r="D9" s="416">
        <f>'OR04-分公司销售、承保、保全'!CG87*0.7+'OR13-分公司财务管理'!CK58*0.4</f>
        <v>45.718004254404441</v>
      </c>
      <c r="E9" s="416">
        <f>'OR04-分公司销售、承保、保全'!CG88*0.7+'OR13-分公司财务管理'!CK59*0.4</f>
        <v>55.699999999999996</v>
      </c>
      <c r="F9" s="407">
        <f t="shared" si="0"/>
        <v>81.506436261948693</v>
      </c>
      <c r="G9" s="407">
        <v>86.250155968065926</v>
      </c>
      <c r="I9" s="137"/>
    </row>
    <row r="10" spans="1:9">
      <c r="A10" s="401" t="s">
        <v>1673</v>
      </c>
      <c r="B10" s="408">
        <f>'OR02-销售承保'!AK46*0.3</f>
        <v>14.146571704490585</v>
      </c>
      <c r="C10" s="408">
        <f>'OR02-销售承保'!AK47*0.3</f>
        <v>18</v>
      </c>
      <c r="D10" s="416">
        <f>'OR04-分公司销售、承保、保全'!CI87*0.7+'OR13-分公司财务管理'!CM58*0.4</f>
        <v>49.300000000000004</v>
      </c>
      <c r="E10" s="416">
        <f>'OR04-分公司销售、承保、保全'!CI88*0.7+'OR13-分公司财务管理'!CM59*0.4</f>
        <v>50.8</v>
      </c>
      <c r="F10" s="407">
        <f t="shared" si="0"/>
        <v>92.218854221643298</v>
      </c>
      <c r="G10" s="407">
        <v>97.499170658563486</v>
      </c>
      <c r="I10" s="137"/>
    </row>
    <row r="11" spans="1:9">
      <c r="A11" s="401" t="s">
        <v>1674</v>
      </c>
      <c r="B11" s="408">
        <f>'OR02-销售承保'!AM46*0.3+'OR12-财务管理'!AE43*0.6</f>
        <v>14.683842350879605</v>
      </c>
      <c r="C11" s="408">
        <f>'OR02-销售承保'!AM47*0.3+'OR12-财务管理'!AE45*0.6</f>
        <v>24.6</v>
      </c>
      <c r="D11" s="416">
        <f>'OR04-分公司销售、承保、保全'!CK87*0.7+'OR13-分公司财务管理'!CO58*0.4</f>
        <v>51.037499999999994</v>
      </c>
      <c r="E11" s="416">
        <f>'OR04-分公司销售、承保、保全'!CK88*0.7+'OR13-分公司财务管理'!CO59*0.4</f>
        <v>56.6</v>
      </c>
      <c r="F11" s="407">
        <f t="shared" si="0"/>
        <v>80.93761373261033</v>
      </c>
      <c r="G11" s="407">
        <v>82.561444413977981</v>
      </c>
      <c r="I11" s="137"/>
    </row>
    <row r="12" spans="1:9">
      <c r="A12" s="401" t="s">
        <v>1675</v>
      </c>
      <c r="B12" s="408">
        <f>'OR02-销售承保'!AO46*0.3</f>
        <v>16.231894571633802</v>
      </c>
      <c r="C12" s="408">
        <f>'OR02-销售承保'!AO47*0.3</f>
        <v>22.8</v>
      </c>
      <c r="D12" s="416">
        <f>'OR04-分公司销售、承保、保全'!CM87*0.7+'OR13-分公司财务管理'!CQ58*0.4</f>
        <v>50.155000000000001</v>
      </c>
      <c r="E12" s="416">
        <f>'OR04-分公司销售、承保、保全'!CM88*0.7+'OR13-分公司财务管理'!CQ59*0.4</f>
        <v>51.5</v>
      </c>
      <c r="F12" s="407">
        <f t="shared" si="0"/>
        <v>89.349790809735936</v>
      </c>
      <c r="G12" s="407">
        <v>95.714618716001496</v>
      </c>
      <c r="I12" s="137"/>
    </row>
    <row r="13" spans="1:9">
      <c r="A13" s="401" t="s">
        <v>1676</v>
      </c>
      <c r="B13" s="408">
        <f>'OR02-销售承保'!AQ46*0.3</f>
        <v>17.050763897050182</v>
      </c>
      <c r="C13" s="408">
        <f>'OR02-销售承保'!AQ47*0.3</f>
        <v>19.8</v>
      </c>
      <c r="D13" s="416">
        <f>'OR04-分公司销售、承保、保全'!CO87*0.7+'OR13-分公司财务管理'!CS58*0.4</f>
        <v>49.155000000000001</v>
      </c>
      <c r="E13" s="416">
        <f>'OR04-分公司销售、承保、保全'!CO88*0.7+'OR13-分公司财务管理'!CS59*0.4</f>
        <v>50.1</v>
      </c>
      <c r="F13" s="407">
        <f t="shared" si="0"/>
        <v>94.714969809799982</v>
      </c>
      <c r="G13" s="407">
        <v>98.835828523506478</v>
      </c>
      <c r="I13" s="137"/>
    </row>
  </sheetData>
  <mergeCells count="2">
    <mergeCell ref="D1:E1"/>
    <mergeCell ref="B1:C1"/>
  </mergeCells>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theme="6"/>
  </sheetPr>
  <dimension ref="A1:CU205"/>
  <sheetViews>
    <sheetView workbookViewId="0">
      <pane xSplit="18" ySplit="3" topLeftCell="S4" activePane="bottomRight" state="frozenSplit"/>
      <selection activeCell="C1" sqref="C1"/>
      <selection pane="topRight" activeCell="V1" sqref="V1"/>
      <selection pane="bottomLeft" activeCell="C10" sqref="C10"/>
      <selection pane="bottomRight" activeCell="F18" sqref="F18"/>
    </sheetView>
  </sheetViews>
  <sheetFormatPr defaultColWidth="8.875" defaultRowHeight="16.5" outlineLevelCol="3"/>
  <cols>
    <col min="1" max="1" width="22.125" style="26" hidden="1" customWidth="1" outlineLevel="3"/>
    <col min="2" max="2" width="29.625" style="26" hidden="1" customWidth="1" outlineLevel="2"/>
    <col min="3" max="3" width="5.625" style="7" customWidth="1" collapsed="1"/>
    <col min="4" max="4" width="40.5" style="77" customWidth="1"/>
    <col min="5" max="5" width="17.5" style="26" customWidth="1" outlineLevel="2"/>
    <col min="6" max="6" width="5.5" style="26" customWidth="1" outlineLevel="3"/>
    <col min="7" max="7" width="10.5" style="83" customWidth="1" outlineLevel="3"/>
    <col min="8" max="8" width="10.5" style="26" customWidth="1" outlineLevel="2"/>
    <col min="9" max="9" width="8.625" style="26" customWidth="1"/>
    <col min="10" max="10" width="12.125" style="83" hidden="1" customWidth="1" outlineLevel="1"/>
    <col min="11" max="11" width="8.125" style="26" hidden="1" customWidth="1" outlineLevel="1"/>
    <col min="12" max="12" width="12.25" style="26" hidden="1" customWidth="1" outlineLevel="1"/>
    <col min="13" max="13" width="9.625" style="26" hidden="1" customWidth="1" outlineLevel="1"/>
    <col min="14" max="14" width="6.75" style="26" hidden="1" customWidth="1" outlineLevel="1"/>
    <col min="15" max="15" width="7" style="26" hidden="1" customWidth="1" outlineLevel="1"/>
    <col min="16" max="16" width="6.375" style="312" hidden="1" customWidth="1" outlineLevel="1"/>
    <col min="17" max="17" width="8" style="312" hidden="1" customWidth="1" outlineLevel="1"/>
    <col min="18" max="18" width="8.125" style="312" customWidth="1" collapsed="1"/>
    <col min="19" max="19" width="4.25" style="26" customWidth="1"/>
    <col min="20" max="20" width="13" style="77" hidden="1" customWidth="1" outlineLevel="2"/>
    <col min="21" max="21" width="9" style="77" hidden="1" customWidth="1" outlineLevel="2"/>
    <col min="22" max="22" width="10.25" style="77" customWidth="1" collapsed="1"/>
    <col min="23" max="23" width="9" style="77" customWidth="1"/>
    <col min="24" max="24" width="7.5" style="77" customWidth="1"/>
    <col min="25" max="25" width="4" style="77" customWidth="1"/>
    <col min="26" max="26" width="11.5" style="53" hidden="1" customWidth="1" outlineLevel="1"/>
    <col min="27" max="27" width="9" style="53" hidden="1" customWidth="1" outlineLevel="1"/>
    <col min="28" max="28" width="11.75" style="53" customWidth="1" collapsed="1"/>
    <col min="29" max="29" width="9" style="53" customWidth="1"/>
    <col min="30" max="30" width="7.5" style="53" customWidth="1"/>
    <col min="31" max="31" width="4.375" style="53" customWidth="1"/>
    <col min="32" max="32" width="11.5" style="77" customWidth="1" outlineLevel="1"/>
    <col min="33" max="33" width="9" style="77" customWidth="1" outlineLevel="1"/>
    <col min="34" max="34" width="11.5" style="77" customWidth="1"/>
    <col min="35" max="35" width="8.125" style="77" customWidth="1"/>
    <col min="36" max="36" width="7.5" style="77" customWidth="1"/>
    <col min="37" max="37" width="3.875" style="77" customWidth="1"/>
    <col min="38" max="38" width="11.5" style="53" hidden="1" customWidth="1" outlineLevel="1"/>
    <col min="39" max="39" width="9" style="53" hidden="1" customWidth="1" outlineLevel="1"/>
    <col min="40" max="40" width="11.5" style="53" customWidth="1" collapsed="1"/>
    <col min="41" max="41" width="9" style="53" customWidth="1"/>
    <col min="42" max="42" width="9.25" style="53" customWidth="1"/>
    <col min="43" max="43" width="3.75" style="53" customWidth="1"/>
    <col min="44" max="44" width="11.5" style="77" hidden="1" customWidth="1" outlineLevel="1"/>
    <col min="45" max="45" width="9" style="77" hidden="1" customWidth="1" outlineLevel="1"/>
    <col min="46" max="46" width="11.5" style="77" customWidth="1" collapsed="1"/>
    <col min="47" max="47" width="9" style="77" customWidth="1"/>
    <col min="48" max="48" width="9.25" style="77" customWidth="1"/>
    <col min="49" max="49" width="3.5" style="77" customWidth="1"/>
    <col min="50" max="50" width="11.5" style="53" hidden="1" customWidth="1" outlineLevel="1"/>
    <col min="51" max="51" width="9" style="53" hidden="1" customWidth="1" outlineLevel="1"/>
    <col min="52" max="52" width="11.5" style="53" customWidth="1" collapsed="1"/>
    <col min="53" max="53" width="9" style="53" customWidth="1"/>
    <col min="54" max="54" width="9.25" style="53" customWidth="1"/>
    <col min="55" max="55" width="3.375" style="53" customWidth="1"/>
    <col min="56" max="56" width="11.5" style="77" hidden="1" customWidth="1" outlineLevel="1"/>
    <col min="57" max="57" width="9" style="77" hidden="1" customWidth="1" outlineLevel="1"/>
    <col min="58" max="58" width="11.5" style="77" customWidth="1" collapsed="1"/>
    <col min="59" max="59" width="9" style="77" customWidth="1"/>
    <col min="60" max="60" width="9.25" style="77" customWidth="1"/>
    <col min="61" max="61" width="3.875" style="77" customWidth="1"/>
    <col min="62" max="62" width="11.5" style="53" hidden="1" customWidth="1" outlineLevel="1"/>
    <col min="63" max="63" width="9" style="53" hidden="1" customWidth="1" outlineLevel="1"/>
    <col min="64" max="64" width="11.5" style="53" customWidth="1" collapsed="1"/>
    <col min="65" max="65" width="9" style="53" customWidth="1"/>
    <col min="66" max="66" width="9.25" style="53" customWidth="1"/>
    <col min="67" max="67" width="4.125" style="53" customWidth="1"/>
    <col min="68" max="68" width="11.5" style="77" hidden="1" customWidth="1" outlineLevel="1"/>
    <col min="69" max="69" width="9" style="77" hidden="1" customWidth="1" outlineLevel="1"/>
    <col min="70" max="70" width="11.5" style="77" customWidth="1" collapsed="1"/>
    <col min="71" max="71" width="9" style="77" customWidth="1"/>
    <col min="72" max="72" width="9.25" style="77" customWidth="1"/>
    <col min="73" max="73" width="4" style="77" customWidth="1"/>
    <col min="74" max="74" width="11.5" style="53" hidden="1" customWidth="1" outlineLevel="1"/>
    <col min="75" max="75" width="9" style="53" hidden="1" customWidth="1" outlineLevel="1"/>
    <col min="76" max="76" width="11.5" style="53" customWidth="1" collapsed="1"/>
    <col min="77" max="77" width="9" style="53" customWidth="1"/>
    <col min="78" max="78" width="7.5" style="53" customWidth="1"/>
    <col min="79" max="79" width="9" style="53" customWidth="1"/>
    <col min="80" max="80" width="8.875" style="77" customWidth="1"/>
    <col min="81" max="81" width="8.875" style="77"/>
    <col min="82" max="87" width="8.875" style="423" customWidth="1" outlineLevel="1"/>
    <col min="88" max="97" width="8.875" style="586" customWidth="1" outlineLevel="1"/>
    <col min="98" max="16384" width="8.875" style="77"/>
  </cols>
  <sheetData>
    <row r="1" spans="1:97">
      <c r="A1" s="705"/>
      <c r="B1" s="187"/>
      <c r="C1" s="706" t="s">
        <v>1386</v>
      </c>
      <c r="D1" s="707"/>
      <c r="E1" s="187"/>
      <c r="F1" s="187"/>
      <c r="G1" s="187"/>
      <c r="H1" s="187"/>
      <c r="I1" s="187"/>
      <c r="J1" s="187"/>
      <c r="K1" s="187"/>
      <c r="L1" s="308" t="s">
        <v>2009</v>
      </c>
      <c r="M1" s="187"/>
      <c r="N1" s="187"/>
      <c r="O1" s="187"/>
      <c r="P1" s="311"/>
      <c r="Q1" s="311"/>
      <c r="R1" s="311"/>
      <c r="S1" s="187"/>
    </row>
    <row r="2" spans="1:97" ht="15">
      <c r="A2" s="708"/>
      <c r="B2" s="187"/>
      <c r="E2" s="187"/>
      <c r="F2" s="187"/>
      <c r="G2" s="187"/>
      <c r="H2" s="187"/>
      <c r="J2" s="1641" t="s">
        <v>1851</v>
      </c>
      <c r="K2" s="1641"/>
      <c r="L2" s="1641"/>
      <c r="M2" s="1641"/>
      <c r="N2" s="1641"/>
      <c r="O2" s="1641"/>
      <c r="P2" s="513"/>
      <c r="Q2" s="821"/>
      <c r="R2" s="821"/>
      <c r="S2" s="709"/>
      <c r="T2" s="1638" t="s">
        <v>1186</v>
      </c>
      <c r="U2" s="1639"/>
      <c r="V2" s="1639"/>
      <c r="W2" s="1639"/>
      <c r="X2" s="1640"/>
      <c r="Y2" s="710"/>
      <c r="Z2" s="1638" t="s">
        <v>1187</v>
      </c>
      <c r="AA2" s="1639"/>
      <c r="AB2" s="1639"/>
      <c r="AC2" s="1639"/>
      <c r="AD2" s="1640"/>
      <c r="AE2" s="710"/>
      <c r="AF2" s="1638" t="s">
        <v>1188</v>
      </c>
      <c r="AG2" s="1639"/>
      <c r="AH2" s="1639"/>
      <c r="AI2" s="1639"/>
      <c r="AJ2" s="1640"/>
      <c r="AK2" s="710"/>
      <c r="AL2" s="1638" t="s">
        <v>1189</v>
      </c>
      <c r="AM2" s="1639"/>
      <c r="AN2" s="1639"/>
      <c r="AO2" s="1639"/>
      <c r="AP2" s="1640"/>
      <c r="AQ2" s="710"/>
      <c r="AR2" s="1638" t="s">
        <v>1190</v>
      </c>
      <c r="AS2" s="1639"/>
      <c r="AT2" s="1639"/>
      <c r="AU2" s="1639"/>
      <c r="AV2" s="1640"/>
      <c r="AW2" s="710"/>
      <c r="AX2" s="1638" t="s">
        <v>1191</v>
      </c>
      <c r="AY2" s="1639"/>
      <c r="AZ2" s="1639"/>
      <c r="BA2" s="1639"/>
      <c r="BB2" s="1640"/>
      <c r="BC2" s="710"/>
      <c r="BD2" s="1638" t="s">
        <v>1192</v>
      </c>
      <c r="BE2" s="1639"/>
      <c r="BF2" s="1639"/>
      <c r="BG2" s="1639"/>
      <c r="BH2" s="1640"/>
      <c r="BI2" s="710"/>
      <c r="BJ2" s="1638" t="s">
        <v>1193</v>
      </c>
      <c r="BK2" s="1639"/>
      <c r="BL2" s="1639"/>
      <c r="BM2" s="1639"/>
      <c r="BN2" s="1640"/>
      <c r="BO2" s="710"/>
      <c r="BP2" s="1638" t="s">
        <v>1194</v>
      </c>
      <c r="BQ2" s="1639"/>
      <c r="BR2" s="1639"/>
      <c r="BS2" s="1639"/>
      <c r="BT2" s="1640"/>
      <c r="BU2" s="710"/>
      <c r="BV2" s="1638" t="s">
        <v>1387</v>
      </c>
      <c r="BW2" s="1639"/>
      <c r="BX2" s="1639"/>
      <c r="BY2" s="1639"/>
      <c r="BZ2" s="1640"/>
      <c r="CD2" s="615" t="s">
        <v>1182</v>
      </c>
      <c r="CE2" s="615"/>
      <c r="CF2" s="615"/>
      <c r="CG2" s="615"/>
      <c r="CH2" s="615"/>
      <c r="CI2" s="615"/>
      <c r="CJ2" s="616"/>
      <c r="CK2" s="616"/>
      <c r="CL2" s="616"/>
      <c r="CM2" s="616"/>
      <c r="CN2" s="616"/>
      <c r="CO2" s="616"/>
      <c r="CP2" s="616"/>
      <c r="CQ2" s="616"/>
      <c r="CR2" s="616"/>
      <c r="CS2" s="616"/>
    </row>
    <row r="3" spans="1:97" ht="14.25" customHeight="1">
      <c r="A3" s="711" t="s">
        <v>482</v>
      </c>
      <c r="B3" s="712" t="s">
        <v>503</v>
      </c>
      <c r="C3" s="975" t="s">
        <v>230</v>
      </c>
      <c r="D3" s="975" t="s">
        <v>229</v>
      </c>
      <c r="E3" s="975" t="s">
        <v>1803</v>
      </c>
      <c r="F3" s="975" t="s">
        <v>1201</v>
      </c>
      <c r="G3" s="975" t="s">
        <v>481</v>
      </c>
      <c r="H3" s="975" t="s">
        <v>745</v>
      </c>
      <c r="I3" s="975" t="s">
        <v>584</v>
      </c>
      <c r="J3" s="975" t="s">
        <v>1707</v>
      </c>
      <c r="K3" s="975" t="s">
        <v>1708</v>
      </c>
      <c r="L3" s="976" t="s">
        <v>1811</v>
      </c>
      <c r="M3" s="975" t="s">
        <v>1812</v>
      </c>
      <c r="N3" s="975" t="s">
        <v>1203</v>
      </c>
      <c r="O3" s="975" t="s">
        <v>554</v>
      </c>
      <c r="P3" s="67" t="s">
        <v>1946</v>
      </c>
      <c r="Q3" s="67" t="s">
        <v>1947</v>
      </c>
      <c r="R3" s="67" t="s">
        <v>1948</v>
      </c>
      <c r="S3" s="709"/>
      <c r="T3" s="709" t="str">
        <f>J3</f>
        <v>Q1</v>
      </c>
      <c r="U3" s="709" t="str">
        <f>K3</f>
        <v>Q1得分</v>
      </c>
      <c r="V3" s="713" t="str">
        <f>L3</f>
        <v>Q2</v>
      </c>
      <c r="W3" s="709" t="str">
        <f>M3</f>
        <v>Q2得分</v>
      </c>
      <c r="X3" s="709" t="s">
        <v>1202</v>
      </c>
      <c r="Y3" s="709"/>
      <c r="Z3" s="709" t="str">
        <f>T3</f>
        <v>Q1</v>
      </c>
      <c r="AA3" s="709" t="str">
        <f>U3</f>
        <v>Q1得分</v>
      </c>
      <c r="AB3" s="713" t="str">
        <f>V3</f>
        <v>Q2</v>
      </c>
      <c r="AC3" s="709" t="str">
        <f>W3</f>
        <v>Q2得分</v>
      </c>
      <c r="AD3" s="709" t="s">
        <v>1202</v>
      </c>
      <c r="AE3" s="709"/>
      <c r="AF3" s="709" t="str">
        <f>Z3</f>
        <v>Q1</v>
      </c>
      <c r="AG3" s="709" t="str">
        <f>AA3</f>
        <v>Q1得分</v>
      </c>
      <c r="AH3" s="713" t="str">
        <f>AB3</f>
        <v>Q2</v>
      </c>
      <c r="AI3" s="709" t="str">
        <f>AC3</f>
        <v>Q2得分</v>
      </c>
      <c r="AJ3" s="709" t="s">
        <v>1202</v>
      </c>
      <c r="AK3" s="709"/>
      <c r="AL3" s="709" t="str">
        <f>AF3</f>
        <v>Q1</v>
      </c>
      <c r="AM3" s="709" t="str">
        <f>AG3</f>
        <v>Q1得分</v>
      </c>
      <c r="AN3" s="713" t="str">
        <f>AH3</f>
        <v>Q2</v>
      </c>
      <c r="AO3" s="709" t="str">
        <f>AI3</f>
        <v>Q2得分</v>
      </c>
      <c r="AP3" s="709" t="s">
        <v>1202</v>
      </c>
      <c r="AQ3" s="709"/>
      <c r="AR3" s="709" t="str">
        <f>AL3</f>
        <v>Q1</v>
      </c>
      <c r="AS3" s="709" t="str">
        <f>AM3</f>
        <v>Q1得分</v>
      </c>
      <c r="AT3" s="713" t="str">
        <f>AN3</f>
        <v>Q2</v>
      </c>
      <c r="AU3" s="709" t="str">
        <f>AO3</f>
        <v>Q2得分</v>
      </c>
      <c r="AV3" s="709" t="s">
        <v>1202</v>
      </c>
      <c r="AW3" s="709"/>
      <c r="AX3" s="709" t="str">
        <f>AR3</f>
        <v>Q1</v>
      </c>
      <c r="AY3" s="709" t="str">
        <f>AS3</f>
        <v>Q1得分</v>
      </c>
      <c r="AZ3" s="713" t="str">
        <f>AT3</f>
        <v>Q2</v>
      </c>
      <c r="BA3" s="709" t="str">
        <f>AU3</f>
        <v>Q2得分</v>
      </c>
      <c r="BB3" s="709" t="s">
        <v>1202</v>
      </c>
      <c r="BC3" s="709"/>
      <c r="BD3" s="709" t="str">
        <f>AX3</f>
        <v>Q1</v>
      </c>
      <c r="BE3" s="709" t="str">
        <f>AY3</f>
        <v>Q1得分</v>
      </c>
      <c r="BF3" s="713" t="str">
        <f>AZ3</f>
        <v>Q2</v>
      </c>
      <c r="BG3" s="709" t="str">
        <f>BA3</f>
        <v>Q2得分</v>
      </c>
      <c r="BH3" s="709" t="s">
        <v>1202</v>
      </c>
      <c r="BI3" s="709"/>
      <c r="BJ3" s="709" t="str">
        <f>BD3</f>
        <v>Q1</v>
      </c>
      <c r="BK3" s="709" t="str">
        <f>BE3</f>
        <v>Q1得分</v>
      </c>
      <c r="BL3" s="713" t="str">
        <f>BF3</f>
        <v>Q2</v>
      </c>
      <c r="BM3" s="709" t="str">
        <f>BG3</f>
        <v>Q2得分</v>
      </c>
      <c r="BN3" s="709" t="s">
        <v>1202</v>
      </c>
      <c r="BO3" s="709"/>
      <c r="BP3" s="709" t="str">
        <f>BJ3</f>
        <v>Q1</v>
      </c>
      <c r="BQ3" s="709" t="str">
        <f>BK3</f>
        <v>Q1得分</v>
      </c>
      <c r="BR3" s="713" t="str">
        <f>BL3</f>
        <v>Q2</v>
      </c>
      <c r="BS3" s="709" t="str">
        <f>BM3</f>
        <v>Q2得分</v>
      </c>
      <c r="BT3" s="709" t="s">
        <v>1202</v>
      </c>
      <c r="BU3" s="709"/>
      <c r="BV3" s="709" t="str">
        <f>BP3</f>
        <v>Q1</v>
      </c>
      <c r="BW3" s="709" t="str">
        <f>BQ3</f>
        <v>Q1得分</v>
      </c>
      <c r="BX3" s="713" t="str">
        <f>BR3</f>
        <v>Q2</v>
      </c>
      <c r="BY3" s="709" t="str">
        <f>BS3</f>
        <v>Q2得分</v>
      </c>
      <c r="BZ3" s="709" t="s">
        <v>1202</v>
      </c>
      <c r="CD3" s="615" t="s">
        <v>1665</v>
      </c>
      <c r="CE3" s="615" t="s">
        <v>1652</v>
      </c>
      <c r="CF3" s="615" t="s">
        <v>1667</v>
      </c>
      <c r="CG3" s="615" t="s">
        <v>1666</v>
      </c>
      <c r="CH3" s="615" t="s">
        <v>1635</v>
      </c>
      <c r="CI3" s="615" t="s">
        <v>1636</v>
      </c>
      <c r="CJ3" s="616" t="s">
        <v>1625</v>
      </c>
      <c r="CK3" s="616" t="s">
        <v>1626</v>
      </c>
      <c r="CL3" s="616" t="s">
        <v>1627</v>
      </c>
      <c r="CM3" s="616" t="s">
        <v>1628</v>
      </c>
      <c r="CN3" s="616" t="s">
        <v>1629</v>
      </c>
      <c r="CO3" s="616" t="s">
        <v>1630</v>
      </c>
      <c r="CP3" s="616" t="s">
        <v>1631</v>
      </c>
      <c r="CQ3" s="616" t="s">
        <v>1632</v>
      </c>
      <c r="CR3" s="616" t="s">
        <v>1633</v>
      </c>
      <c r="CS3" s="616" t="s">
        <v>1634</v>
      </c>
    </row>
    <row r="4" spans="1:97" ht="14.25">
      <c r="A4" s="40" t="s">
        <v>1389</v>
      </c>
      <c r="B4" s="40" t="s">
        <v>1390</v>
      </c>
      <c r="C4" s="11">
        <v>1</v>
      </c>
      <c r="D4" s="79" t="s">
        <v>1388</v>
      </c>
      <c r="E4" s="490" t="s">
        <v>259</v>
      </c>
      <c r="F4" s="275"/>
      <c r="G4" s="260" t="s">
        <v>486</v>
      </c>
      <c r="H4" s="275" t="s">
        <v>287</v>
      </c>
      <c r="I4" s="635">
        <v>5</v>
      </c>
      <c r="J4" s="601">
        <f t="shared" ref="J4:M5" si="0">AVERAGE(BV4,BP4,BJ4,BD4,AX4,AR4,AL4,AF4,Z4,T4)</f>
        <v>14.3</v>
      </c>
      <c r="K4" s="599">
        <f t="shared" si="0"/>
        <v>5</v>
      </c>
      <c r="L4" s="601">
        <f t="shared" si="0"/>
        <v>14.8</v>
      </c>
      <c r="M4" s="597">
        <f t="shared" si="0"/>
        <v>5</v>
      </c>
      <c r="N4" s="512">
        <f>M4-K4</f>
        <v>0</v>
      </c>
      <c r="O4" s="598">
        <f t="shared" ref="O4:O48" si="1">I4-M4</f>
        <v>0</v>
      </c>
      <c r="P4" s="597">
        <f>O4*0.4</f>
        <v>0</v>
      </c>
      <c r="Q4" s="977">
        <f>P4/9</f>
        <v>0</v>
      </c>
      <c r="R4" s="978">
        <f>Q4/2</f>
        <v>0</v>
      </c>
      <c r="S4" s="677"/>
      <c r="T4" s="634">
        <v>9</v>
      </c>
      <c r="U4" s="631">
        <f>IF(T4&gt;5,5,0)</f>
        <v>5</v>
      </c>
      <c r="V4" s="634">
        <v>10</v>
      </c>
      <c r="W4" s="997">
        <f>IF(V4&gt;5,5,0)</f>
        <v>5</v>
      </c>
      <c r="X4" s="167">
        <f t="shared" ref="X4:X14" si="2">IF(AND(T4=0,V4&lt;&gt;0),1,IF(AND(T4=0,V4=0),0,V4/T4-1))</f>
        <v>0.11111111111111116</v>
      </c>
      <c r="Y4" s="677"/>
      <c r="Z4" s="634">
        <v>9</v>
      </c>
      <c r="AA4" s="634">
        <f>IF(Z4&gt;5,5,0)</f>
        <v>5</v>
      </c>
      <c r="AB4" s="634">
        <v>9</v>
      </c>
      <c r="AC4" s="997">
        <f>IF(AB4&gt;5,5,0)</f>
        <v>5</v>
      </c>
      <c r="AD4" s="167">
        <f t="shared" ref="AD4:AD14" si="3">IF(AND(Z4=0,AB4&lt;&gt;0),1,IF(AND(Z4=0,AB4=0),0,AB4/Z4-1))</f>
        <v>0</v>
      </c>
      <c r="AE4" s="677"/>
      <c r="AF4" s="634">
        <v>12</v>
      </c>
      <c r="AG4" s="634">
        <f>IF(AF4&gt;5,5,0)</f>
        <v>5</v>
      </c>
      <c r="AH4" s="634">
        <v>13</v>
      </c>
      <c r="AI4" s="634">
        <f>IF(AH4&gt;5,5,0)</f>
        <v>5</v>
      </c>
      <c r="AJ4" s="167">
        <f t="shared" ref="AJ4:AJ14" si="4">IF(AND(AF4=0,AH4&lt;&gt;0),1,IF(AND(AF4=0,AH4=0),0,AH4/AF4-1))</f>
        <v>8.3333333333333259E-2</v>
      </c>
      <c r="AK4" s="677"/>
      <c r="AL4" s="634">
        <v>26</v>
      </c>
      <c r="AM4" s="634">
        <f>IF(AL4&gt;5,5,0)</f>
        <v>5</v>
      </c>
      <c r="AN4" s="634">
        <v>26</v>
      </c>
      <c r="AO4" s="634">
        <f>IF(AN4&gt;5,5,0)</f>
        <v>5</v>
      </c>
      <c r="AP4" s="167">
        <f t="shared" ref="AP4:AP14" si="5">IF(AND(AL4=0,AN4&lt;&gt;0),1,IF(AND(AL4=0,AN4=0),0,AN4/AL4-1))</f>
        <v>0</v>
      </c>
      <c r="AQ4" s="677"/>
      <c r="AR4" s="634">
        <v>12</v>
      </c>
      <c r="AS4" s="634">
        <f>IF(AR4&gt;5,5,0)</f>
        <v>5</v>
      </c>
      <c r="AT4" s="634">
        <v>13</v>
      </c>
      <c r="AU4" s="634">
        <f>IF(AT4&gt;5,5,0)</f>
        <v>5</v>
      </c>
      <c r="AV4" s="167">
        <f t="shared" ref="AV4:AV14" si="6">IF(AND(AR4=0,AT4&lt;&gt;0),1,IF(AND(AR4=0,AT4=0),0,AT4/AR4-1))</f>
        <v>8.3333333333333259E-2</v>
      </c>
      <c r="AW4" s="677"/>
      <c r="AX4" s="634">
        <v>12</v>
      </c>
      <c r="AY4" s="634">
        <f>IF(AX4&gt;5,5,0)</f>
        <v>5</v>
      </c>
      <c r="AZ4" s="634">
        <v>12</v>
      </c>
      <c r="BA4" s="634">
        <f>IF(AZ4&gt;5,5,0)</f>
        <v>5</v>
      </c>
      <c r="BB4" s="167">
        <f t="shared" ref="BB4:BB14" si="7">IF(AND(AX4=0,AZ4&lt;&gt;0),1,IF(AND(AX4=0,AZ4=0),0,AZ4/AX4-1))</f>
        <v>0</v>
      </c>
      <c r="BC4" s="677"/>
      <c r="BD4" s="634">
        <v>18</v>
      </c>
      <c r="BE4" s="634">
        <f>IF(BD4&gt;5,5,0)</f>
        <v>5</v>
      </c>
      <c r="BF4" s="634">
        <v>18</v>
      </c>
      <c r="BG4" s="634">
        <f>IF(BF4&gt;5,5,0)</f>
        <v>5</v>
      </c>
      <c r="BH4" s="167">
        <f t="shared" ref="BH4:BH14" si="8">IF(AND(BD4=0,BF4&lt;&gt;0),1,IF(AND(BD4=0,BF4=0),0,BF4/BD4-1))</f>
        <v>0</v>
      </c>
      <c r="BI4" s="677"/>
      <c r="BJ4" s="634">
        <v>16</v>
      </c>
      <c r="BK4" s="634">
        <f>IF(BJ4&gt;5,5,0)</f>
        <v>5</v>
      </c>
      <c r="BL4" s="634">
        <v>16</v>
      </c>
      <c r="BM4" s="634">
        <f>IF(BL4&gt;5,5,0)</f>
        <v>5</v>
      </c>
      <c r="BN4" s="167">
        <f t="shared" ref="BN4:BN14" si="9">IF(AND(BJ4=0,BL4&lt;&gt;0),1,IF(AND(BJ4=0,BL4=0),0,BL4/BJ4-1))</f>
        <v>0</v>
      </c>
      <c r="BO4" s="677"/>
      <c r="BP4" s="634">
        <v>17</v>
      </c>
      <c r="BQ4" s="634">
        <f>IF(BP4&gt;5,5,0)</f>
        <v>5</v>
      </c>
      <c r="BR4" s="634">
        <v>18</v>
      </c>
      <c r="BS4" s="634">
        <f>IF(BR4&gt;5,5,0)</f>
        <v>5</v>
      </c>
      <c r="BT4" s="167">
        <f t="shared" ref="BT4:BT14" si="10">IF(AND(BP4=0,BR4&lt;&gt;0),1,IF(AND(BP4=0,BR4=0),0,BR4/BP4-1))</f>
        <v>5.8823529411764719E-2</v>
      </c>
      <c r="BU4" s="677"/>
      <c r="BV4" s="634">
        <v>12</v>
      </c>
      <c r="BW4" s="634">
        <f>IF(BV4&gt;5,5,0)</f>
        <v>5</v>
      </c>
      <c r="BX4" s="634">
        <v>13</v>
      </c>
      <c r="BY4" s="631">
        <f>IF(BX4&gt;5,5,0)</f>
        <v>5</v>
      </c>
      <c r="BZ4" s="678">
        <f t="shared" ref="BZ4:BZ14" si="11">IF(AND(BV4=0,BX4&lt;&gt;0),1,IF(AND(BV4=0,BX4=0),0,BX4/BV4-1))</f>
        <v>8.3333333333333259E-2</v>
      </c>
      <c r="CD4" s="615">
        <v>0.5</v>
      </c>
      <c r="CE4" s="615">
        <f t="shared" ref="CE4:CE21" si="12">M4</f>
        <v>5</v>
      </c>
      <c r="CF4" s="615">
        <v>0.5</v>
      </c>
      <c r="CG4" s="615">
        <f t="shared" ref="CG4:CG21" si="13">M4</f>
        <v>5</v>
      </c>
      <c r="CH4" s="615">
        <v>0</v>
      </c>
      <c r="CI4" s="615"/>
      <c r="CJ4" s="616"/>
      <c r="CK4" s="616"/>
      <c r="CL4" s="616"/>
      <c r="CM4" s="616"/>
      <c r="CN4" s="616"/>
      <c r="CO4" s="616"/>
      <c r="CP4" s="616"/>
      <c r="CQ4" s="616"/>
      <c r="CR4" s="616"/>
      <c r="CS4" s="616"/>
    </row>
    <row r="5" spans="1:97" ht="14.25">
      <c r="A5" s="1642" t="s">
        <v>2052</v>
      </c>
      <c r="B5" s="1611" t="s">
        <v>1391</v>
      </c>
      <c r="C5" s="23">
        <v>2</v>
      </c>
      <c r="D5" s="1027" t="s">
        <v>2075</v>
      </c>
      <c r="E5" s="485"/>
      <c r="F5" s="275"/>
      <c r="G5" s="260" t="s">
        <v>490</v>
      </c>
      <c r="H5" s="268" t="s">
        <v>287</v>
      </c>
      <c r="I5" s="635">
        <v>2</v>
      </c>
      <c r="J5" s="601">
        <f t="shared" si="0"/>
        <v>0.15666666666666668</v>
      </c>
      <c r="K5" s="599">
        <f t="shared" si="0"/>
        <v>1.2</v>
      </c>
      <c r="L5" s="601">
        <f t="shared" si="0"/>
        <v>9.0238095238095242E-2</v>
      </c>
      <c r="M5" s="577">
        <f t="shared" si="0"/>
        <v>1.6</v>
      </c>
      <c r="N5" s="579">
        <f t="shared" ref="N5:N53" si="14">M5-K5</f>
        <v>0.40000000000000013</v>
      </c>
      <c r="O5" s="598">
        <f t="shared" si="1"/>
        <v>0.39999999999999991</v>
      </c>
      <c r="P5" s="597">
        <f t="shared" ref="P5:P53" si="15">O5*0.4</f>
        <v>0.15999999999999998</v>
      </c>
      <c r="Q5" s="977">
        <f t="shared" ref="Q5:Q58" si="16">P5/9</f>
        <v>1.7777777777777774E-2</v>
      </c>
      <c r="R5" s="978">
        <f t="shared" ref="R5:R58" si="17">Q5/2</f>
        <v>8.8888888888888871E-3</v>
      </c>
      <c r="S5" s="677"/>
      <c r="T5" s="167">
        <f>IF(SUM(T7:T8)=0,"",T6/SUM(T7:T8))</f>
        <v>0.25</v>
      </c>
      <c r="U5" s="631">
        <f>IF(T5&lt;=0.2,2,0)</f>
        <v>0</v>
      </c>
      <c r="V5" s="167">
        <f>IF(SUM(V7:V8)=0,"",V6/SUM(V7:V8))</f>
        <v>0</v>
      </c>
      <c r="W5" s="1004">
        <f>IF(V5&lt;=0.2,2,0)</f>
        <v>2</v>
      </c>
      <c r="X5" s="167">
        <f t="shared" si="2"/>
        <v>-1</v>
      </c>
      <c r="Y5" s="677"/>
      <c r="Z5" s="167">
        <f>IF(SUM(Z7:Z8)=0,"",Z6/SUM(Z7:Z8))</f>
        <v>0.33333333333333331</v>
      </c>
      <c r="AA5" s="634">
        <f>IF(Z5&lt;=0.2,2,0)</f>
        <v>0</v>
      </c>
      <c r="AB5" s="167">
        <f>IF(SUM(AB7:AB8)=0,"",AB6/SUM(AB7:AB8))</f>
        <v>0.2857142857142857</v>
      </c>
      <c r="AC5" s="997">
        <f>IF(AB5&lt;=0.2,2,0)</f>
        <v>0</v>
      </c>
      <c r="AD5" s="167">
        <f t="shared" si="3"/>
        <v>-0.1428571428571429</v>
      </c>
      <c r="AE5" s="677"/>
      <c r="AF5" s="167">
        <f>IF(SUM(AF7:AF8)=0,"",AF6/SUM(AF7:AF8))</f>
        <v>0</v>
      </c>
      <c r="AG5" s="634">
        <f>IF(AF5&lt;=0.2,2,0)</f>
        <v>2</v>
      </c>
      <c r="AH5" s="167">
        <f>IF(SUM(AH7:AH8)=0,"",AH6/SUM(AH7:AH8))</f>
        <v>0</v>
      </c>
      <c r="AI5" s="634">
        <f>IF(AH5&lt;=0.2,2,0)</f>
        <v>2</v>
      </c>
      <c r="AJ5" s="167">
        <f t="shared" si="4"/>
        <v>0</v>
      </c>
      <c r="AK5" s="677"/>
      <c r="AL5" s="167">
        <f>IF(SUM(AL7:AL8)=0,"",AL6/SUM(AL7:AL8))</f>
        <v>0</v>
      </c>
      <c r="AM5" s="634">
        <f>IF(AL5&lt;=0.2,2,0)</f>
        <v>2</v>
      </c>
      <c r="AN5" s="167">
        <f>IF(SUM(AN7:AN8)=0,"",AN6/SUM(AN7:AN8))</f>
        <v>0</v>
      </c>
      <c r="AO5" s="634">
        <f>IF(AN5&lt;=0.2,2,0)</f>
        <v>2</v>
      </c>
      <c r="AP5" s="167">
        <f t="shared" si="5"/>
        <v>0</v>
      </c>
      <c r="AQ5" s="677"/>
      <c r="AR5" s="283">
        <f>IF(SUM(AR7:AR8)=0,"",AR6/SUM(AR7:AR8))</f>
        <v>0.16666666666666666</v>
      </c>
      <c r="AS5" s="634">
        <f>IF(AR5&lt;=0.2,2,0)</f>
        <v>2</v>
      </c>
      <c r="AT5" s="283">
        <f>IF(SUM(AT7:AT8)=0,"",AT6/SUM(AT7:AT8))</f>
        <v>0</v>
      </c>
      <c r="AU5" s="634">
        <f>IF(AT5&lt;=0.2,2,0)</f>
        <v>2</v>
      </c>
      <c r="AV5" s="167">
        <f t="shared" si="6"/>
        <v>-1</v>
      </c>
      <c r="AW5" s="677"/>
      <c r="AX5" s="167">
        <f>IF(SUM(AX7:AX8)=0,"",AX6/SUM(AX7:AX8))</f>
        <v>0.16666666666666666</v>
      </c>
      <c r="AY5" s="634">
        <f>IF(AX5&lt;=0.2,2,0)</f>
        <v>2</v>
      </c>
      <c r="AZ5" s="167">
        <f>IF(SUM(AZ7:AZ8)=0,"",AZ6/SUM(AZ7:AZ8))</f>
        <v>0.16666666666666666</v>
      </c>
      <c r="BA5" s="634">
        <f>IF(AZ5&lt;=0.2,2,0)</f>
        <v>2</v>
      </c>
      <c r="BB5" s="167">
        <f t="shared" si="7"/>
        <v>0</v>
      </c>
      <c r="BC5" s="677"/>
      <c r="BD5" s="167">
        <f>IF(SUM(BD7:BD8)=0,"",BD6/SUM(BD7:BD8))</f>
        <v>0.4</v>
      </c>
      <c r="BE5" s="634">
        <f>IF(BD5&lt;=0.2,2,0)</f>
        <v>0</v>
      </c>
      <c r="BF5" s="167">
        <f>IF(SUM(BF7:BF8)=0,"",BF6/SUM(BF7:BF8))</f>
        <v>0.25</v>
      </c>
      <c r="BG5" s="634">
        <f>IF(BF5&lt;=0.2,2,0)</f>
        <v>0</v>
      </c>
      <c r="BH5" s="167">
        <f t="shared" si="8"/>
        <v>-0.375</v>
      </c>
      <c r="BI5" s="677"/>
      <c r="BJ5" s="167">
        <f>IF(SUM(BJ7:BJ8)=0,"",BJ6/SUM(BJ7:BJ8))</f>
        <v>0.25</v>
      </c>
      <c r="BK5" s="634">
        <f>IF(BJ5&lt;=0.2,2,0)</f>
        <v>0</v>
      </c>
      <c r="BL5" s="167">
        <f>IF(SUM(BL7:BL8)=0,"",BL6/SUM(BL7:BL8))</f>
        <v>0.2</v>
      </c>
      <c r="BM5" s="634">
        <f>IF(BL5&lt;=0.2,2,0)</f>
        <v>2</v>
      </c>
      <c r="BN5" s="167">
        <f t="shared" si="9"/>
        <v>-0.19999999999999996</v>
      </c>
      <c r="BO5" s="677"/>
      <c r="BP5" s="167">
        <f>IF(SUM(BP7:BP8)=0,"",BP6/SUM(BP7:BP8))</f>
        <v>0</v>
      </c>
      <c r="BQ5" s="634">
        <f>IF(BP5&lt;=0.2,2,0)</f>
        <v>2</v>
      </c>
      <c r="BR5" s="167">
        <f>IF(SUM(BR7:BR8)=0,"",BR6/SUM(BR7:BR8))</f>
        <v>0</v>
      </c>
      <c r="BS5" s="634">
        <f>IF(BR5&lt;=0.2,2,0)</f>
        <v>2</v>
      </c>
      <c r="BT5" s="167">
        <f t="shared" si="10"/>
        <v>0</v>
      </c>
      <c r="BU5" s="677"/>
      <c r="BV5" s="167">
        <f>IF(SUM(BV7:BV8)=0,"",BV6/SUM(BV7:BV8))</f>
        <v>0</v>
      </c>
      <c r="BW5" s="634">
        <f>IF(BV5&lt;=0.2,2,0)</f>
        <v>2</v>
      </c>
      <c r="BX5" s="167">
        <f>IF(SUM(BX7:BX8)=0,"",BX6/SUM(BX7:BX8))</f>
        <v>0</v>
      </c>
      <c r="BY5" s="631">
        <f>IF(BX5&lt;=0.2,2,0)</f>
        <v>2</v>
      </c>
      <c r="BZ5" s="678">
        <f t="shared" si="11"/>
        <v>0</v>
      </c>
      <c r="CD5" s="615">
        <v>1</v>
      </c>
      <c r="CE5" s="615">
        <f t="shared" si="12"/>
        <v>1.6</v>
      </c>
      <c r="CF5" s="615">
        <v>1</v>
      </c>
      <c r="CG5" s="615">
        <f t="shared" si="13"/>
        <v>1.6</v>
      </c>
      <c r="CH5" s="615">
        <v>0</v>
      </c>
      <c r="CI5" s="615"/>
      <c r="CJ5" s="616"/>
      <c r="CK5" s="616"/>
      <c r="CL5" s="616"/>
      <c r="CM5" s="616"/>
      <c r="CN5" s="616"/>
      <c r="CO5" s="616"/>
      <c r="CP5" s="616"/>
      <c r="CQ5" s="616"/>
      <c r="CR5" s="616"/>
      <c r="CS5" s="616"/>
    </row>
    <row r="6" spans="1:97" ht="19.5" customHeight="1">
      <c r="A6" s="1626"/>
      <c r="B6" s="1626"/>
      <c r="C6" s="504">
        <v>2.1</v>
      </c>
      <c r="D6" s="638" t="s">
        <v>154</v>
      </c>
      <c r="E6" s="490" t="s">
        <v>259</v>
      </c>
      <c r="F6" s="275"/>
      <c r="G6" s="260"/>
      <c r="H6" s="275"/>
      <c r="I6" s="260"/>
      <c r="J6" s="601">
        <f t="shared" ref="J6:J14" si="18">AVERAGE(BV6,BP6,BJ6,BD6,AX6,AR6,AL6,AF6,Z6,T6)</f>
        <v>0.8</v>
      </c>
      <c r="K6" s="599"/>
      <c r="L6" s="601">
        <f t="shared" ref="L6:L14" si="19">AVERAGE(BX6,BR6,BL6,BF6,AZ6,AT6,AN6,AH6,AB6,V6)</f>
        <v>0.5</v>
      </c>
      <c r="M6" s="597"/>
      <c r="N6" s="579">
        <f t="shared" si="14"/>
        <v>0</v>
      </c>
      <c r="O6" s="598">
        <f t="shared" si="1"/>
        <v>0</v>
      </c>
      <c r="P6" s="597">
        <f t="shared" si="15"/>
        <v>0</v>
      </c>
      <c r="Q6" s="977">
        <f t="shared" si="16"/>
        <v>0</v>
      </c>
      <c r="R6" s="978">
        <f t="shared" si="17"/>
        <v>0</v>
      </c>
      <c r="S6" s="677"/>
      <c r="T6" s="634">
        <v>1</v>
      </c>
      <c r="U6" s="62"/>
      <c r="V6" s="634">
        <v>0</v>
      </c>
      <c r="W6" s="634"/>
      <c r="X6" s="167">
        <f t="shared" si="2"/>
        <v>-1</v>
      </c>
      <c r="Y6" s="677"/>
      <c r="Z6" s="634">
        <v>2</v>
      </c>
      <c r="AA6" s="634"/>
      <c r="AB6" s="634">
        <v>2</v>
      </c>
      <c r="AC6" s="997"/>
      <c r="AD6" s="167">
        <f t="shared" si="3"/>
        <v>0</v>
      </c>
      <c r="AE6" s="677"/>
      <c r="AF6" s="634">
        <v>0</v>
      </c>
      <c r="AG6" s="634"/>
      <c r="AH6" s="634">
        <v>0</v>
      </c>
      <c r="AI6" s="634"/>
      <c r="AJ6" s="167">
        <f t="shared" si="4"/>
        <v>0</v>
      </c>
      <c r="AK6" s="677"/>
      <c r="AL6" s="634">
        <v>0</v>
      </c>
      <c r="AM6" s="634"/>
      <c r="AN6" s="634">
        <v>0</v>
      </c>
      <c r="AO6" s="634"/>
      <c r="AP6" s="167">
        <f t="shared" si="5"/>
        <v>0</v>
      </c>
      <c r="AQ6" s="677"/>
      <c r="AR6" s="634">
        <v>1</v>
      </c>
      <c r="AS6" s="634"/>
      <c r="AT6" s="634">
        <v>0</v>
      </c>
      <c r="AU6" s="634"/>
      <c r="AV6" s="167">
        <f t="shared" si="6"/>
        <v>-1</v>
      </c>
      <c r="AW6" s="677"/>
      <c r="AX6" s="634">
        <v>1</v>
      </c>
      <c r="AY6" s="634"/>
      <c r="AZ6" s="634">
        <v>1</v>
      </c>
      <c r="BA6" s="634"/>
      <c r="BB6" s="167">
        <f t="shared" si="7"/>
        <v>0</v>
      </c>
      <c r="BC6" s="677"/>
      <c r="BD6" s="634">
        <v>2</v>
      </c>
      <c r="BE6" s="634"/>
      <c r="BF6" s="634">
        <v>1</v>
      </c>
      <c r="BG6" s="634"/>
      <c r="BH6" s="167">
        <f t="shared" si="8"/>
        <v>-0.5</v>
      </c>
      <c r="BI6" s="677"/>
      <c r="BJ6" s="634">
        <v>1</v>
      </c>
      <c r="BK6" s="634"/>
      <c r="BL6" s="634">
        <v>1</v>
      </c>
      <c r="BM6" s="634"/>
      <c r="BN6" s="167">
        <f t="shared" si="9"/>
        <v>0</v>
      </c>
      <c r="BO6" s="677"/>
      <c r="BP6" s="634">
        <v>0</v>
      </c>
      <c r="BQ6" s="634"/>
      <c r="BR6" s="634">
        <v>0</v>
      </c>
      <c r="BS6" s="634"/>
      <c r="BT6" s="167">
        <f t="shared" si="10"/>
        <v>0</v>
      </c>
      <c r="BU6" s="677"/>
      <c r="BV6" s="634">
        <v>0</v>
      </c>
      <c r="BW6" s="634"/>
      <c r="BX6" s="634">
        <v>0</v>
      </c>
      <c r="BY6" s="62"/>
      <c r="BZ6" s="678">
        <f t="shared" si="11"/>
        <v>0</v>
      </c>
      <c r="CD6" s="615"/>
      <c r="CE6" s="615">
        <f t="shared" si="12"/>
        <v>0</v>
      </c>
      <c r="CF6" s="615"/>
      <c r="CG6" s="615">
        <f t="shared" si="13"/>
        <v>0</v>
      </c>
      <c r="CH6" s="615">
        <v>0</v>
      </c>
      <c r="CI6" s="615"/>
      <c r="CJ6" s="616"/>
      <c r="CK6" s="616"/>
      <c r="CL6" s="616"/>
      <c r="CM6" s="616"/>
      <c r="CN6" s="616"/>
      <c r="CO6" s="616"/>
      <c r="CP6" s="616"/>
      <c r="CQ6" s="616"/>
      <c r="CR6" s="616"/>
      <c r="CS6" s="616"/>
    </row>
    <row r="7" spans="1:97" ht="21" customHeight="1">
      <c r="A7" s="1626"/>
      <c r="B7" s="1626"/>
      <c r="C7" s="504">
        <v>2.2000000000000002</v>
      </c>
      <c r="D7" s="638" t="s">
        <v>155</v>
      </c>
      <c r="E7" s="490" t="s">
        <v>259</v>
      </c>
      <c r="F7" s="275"/>
      <c r="G7" s="260"/>
      <c r="H7" s="275"/>
      <c r="I7" s="260"/>
      <c r="J7" s="601">
        <f t="shared" si="18"/>
        <v>3.3</v>
      </c>
      <c r="K7" s="599"/>
      <c r="L7" s="601">
        <f t="shared" si="19"/>
        <v>3</v>
      </c>
      <c r="M7" s="597"/>
      <c r="N7" s="579">
        <f t="shared" si="14"/>
        <v>0</v>
      </c>
      <c r="O7" s="598">
        <f t="shared" si="1"/>
        <v>0</v>
      </c>
      <c r="P7" s="597">
        <f t="shared" si="15"/>
        <v>0</v>
      </c>
      <c r="Q7" s="977">
        <f t="shared" si="16"/>
        <v>0</v>
      </c>
      <c r="R7" s="978">
        <f t="shared" si="17"/>
        <v>0</v>
      </c>
      <c r="S7" s="677"/>
      <c r="T7" s="634">
        <v>2</v>
      </c>
      <c r="U7" s="62"/>
      <c r="V7" s="634">
        <v>1</v>
      </c>
      <c r="W7" s="1053"/>
      <c r="X7" s="167">
        <f t="shared" si="2"/>
        <v>-0.5</v>
      </c>
      <c r="Y7" s="677"/>
      <c r="Z7" s="634">
        <v>3</v>
      </c>
      <c r="AA7" s="634"/>
      <c r="AB7" s="634">
        <v>3</v>
      </c>
      <c r="AC7" s="997"/>
      <c r="AD7" s="167">
        <f t="shared" si="3"/>
        <v>0</v>
      </c>
      <c r="AE7" s="677"/>
      <c r="AF7" s="634">
        <v>5</v>
      </c>
      <c r="AG7" s="634"/>
      <c r="AH7" s="634">
        <v>5</v>
      </c>
      <c r="AI7" s="634"/>
      <c r="AJ7" s="167">
        <f t="shared" si="4"/>
        <v>0</v>
      </c>
      <c r="AK7" s="677"/>
      <c r="AL7" s="634">
        <v>2</v>
      </c>
      <c r="AM7" s="634"/>
      <c r="AN7" s="634">
        <v>2</v>
      </c>
      <c r="AO7" s="634"/>
      <c r="AP7" s="167">
        <f t="shared" si="5"/>
        <v>0</v>
      </c>
      <c r="AQ7" s="677"/>
      <c r="AR7" s="634">
        <v>4</v>
      </c>
      <c r="AS7" s="634"/>
      <c r="AT7" s="634">
        <v>4</v>
      </c>
      <c r="AU7" s="634"/>
      <c r="AV7" s="167">
        <f t="shared" si="6"/>
        <v>0</v>
      </c>
      <c r="AW7" s="677"/>
      <c r="AX7" s="634">
        <v>5</v>
      </c>
      <c r="AY7" s="634"/>
      <c r="AZ7" s="634">
        <v>4</v>
      </c>
      <c r="BA7" s="634"/>
      <c r="BB7" s="167">
        <f t="shared" si="7"/>
        <v>-0.19999999999999996</v>
      </c>
      <c r="BC7" s="677"/>
      <c r="BD7" s="634">
        <v>3</v>
      </c>
      <c r="BE7" s="634"/>
      <c r="BF7" s="634">
        <v>2</v>
      </c>
      <c r="BG7" s="634"/>
      <c r="BH7" s="167">
        <f t="shared" si="8"/>
        <v>-0.33333333333333337</v>
      </c>
      <c r="BI7" s="677"/>
      <c r="BJ7" s="634">
        <v>3</v>
      </c>
      <c r="BK7" s="634"/>
      <c r="BL7" s="634">
        <v>3</v>
      </c>
      <c r="BM7" s="634"/>
      <c r="BN7" s="167">
        <f t="shared" si="9"/>
        <v>0</v>
      </c>
      <c r="BO7" s="677"/>
      <c r="BP7" s="634">
        <v>3</v>
      </c>
      <c r="BQ7" s="634"/>
      <c r="BR7" s="634">
        <v>3</v>
      </c>
      <c r="BS7" s="634"/>
      <c r="BT7" s="167">
        <f t="shared" si="10"/>
        <v>0</v>
      </c>
      <c r="BU7" s="677"/>
      <c r="BV7" s="634">
        <v>3</v>
      </c>
      <c r="BW7" s="634"/>
      <c r="BX7" s="634">
        <v>3</v>
      </c>
      <c r="BY7" s="62"/>
      <c r="BZ7" s="678">
        <f t="shared" si="11"/>
        <v>0</v>
      </c>
      <c r="CD7" s="615"/>
      <c r="CE7" s="615">
        <f t="shared" si="12"/>
        <v>0</v>
      </c>
      <c r="CF7" s="615"/>
      <c r="CG7" s="615">
        <f t="shared" si="13"/>
        <v>0</v>
      </c>
      <c r="CH7" s="615">
        <v>0</v>
      </c>
      <c r="CI7" s="615"/>
      <c r="CJ7" s="616"/>
      <c r="CK7" s="616"/>
      <c r="CL7" s="616"/>
      <c r="CM7" s="616"/>
      <c r="CN7" s="616"/>
      <c r="CO7" s="616"/>
      <c r="CP7" s="616"/>
      <c r="CQ7" s="616"/>
      <c r="CR7" s="616"/>
      <c r="CS7" s="616"/>
    </row>
    <row r="8" spans="1:97" ht="18.75" customHeight="1">
      <c r="A8" s="1612"/>
      <c r="B8" s="1612"/>
      <c r="C8" s="504">
        <v>2.2999999999999998</v>
      </c>
      <c r="D8" s="638" t="s">
        <v>156</v>
      </c>
      <c r="E8" s="490" t="s">
        <v>259</v>
      </c>
      <c r="F8" s="275"/>
      <c r="G8" s="260"/>
      <c r="H8" s="275"/>
      <c r="I8" s="260"/>
      <c r="J8" s="601">
        <f t="shared" si="18"/>
        <v>1.1000000000000001</v>
      </c>
      <c r="K8" s="599"/>
      <c r="L8" s="601">
        <f t="shared" si="19"/>
        <v>1.3</v>
      </c>
      <c r="M8" s="597"/>
      <c r="N8" s="579">
        <f t="shared" si="14"/>
        <v>0</v>
      </c>
      <c r="O8" s="598">
        <f t="shared" si="1"/>
        <v>0</v>
      </c>
      <c r="P8" s="597">
        <f t="shared" si="15"/>
        <v>0</v>
      </c>
      <c r="Q8" s="977">
        <f t="shared" si="16"/>
        <v>0</v>
      </c>
      <c r="R8" s="978">
        <f t="shared" si="17"/>
        <v>0</v>
      </c>
      <c r="S8" s="677"/>
      <c r="T8" s="634">
        <v>2</v>
      </c>
      <c r="U8" s="62"/>
      <c r="V8" s="634">
        <v>2</v>
      </c>
      <c r="W8" s="1053"/>
      <c r="X8" s="167">
        <f t="shared" si="2"/>
        <v>0</v>
      </c>
      <c r="Y8" s="677"/>
      <c r="Z8" s="634">
        <v>3</v>
      </c>
      <c r="AA8" s="634"/>
      <c r="AB8" s="634">
        <v>4</v>
      </c>
      <c r="AC8" s="997"/>
      <c r="AD8" s="167">
        <f t="shared" si="3"/>
        <v>0.33333333333333326</v>
      </c>
      <c r="AE8" s="677"/>
      <c r="AF8" s="634">
        <v>0</v>
      </c>
      <c r="AG8" s="634"/>
      <c r="AH8" s="634">
        <v>0</v>
      </c>
      <c r="AI8" s="634"/>
      <c r="AJ8" s="167">
        <f t="shared" si="4"/>
        <v>0</v>
      </c>
      <c r="AK8" s="677"/>
      <c r="AL8" s="634">
        <v>0</v>
      </c>
      <c r="AM8" s="634"/>
      <c r="AN8" s="634">
        <v>0</v>
      </c>
      <c r="AO8" s="634"/>
      <c r="AP8" s="167">
        <f t="shared" si="5"/>
        <v>0</v>
      </c>
      <c r="AQ8" s="677"/>
      <c r="AR8" s="634">
        <v>2</v>
      </c>
      <c r="AS8" s="634"/>
      <c r="AT8" s="634">
        <v>1</v>
      </c>
      <c r="AU8" s="634"/>
      <c r="AV8" s="167">
        <f t="shared" si="6"/>
        <v>-0.5</v>
      </c>
      <c r="AW8" s="677"/>
      <c r="AX8" s="634">
        <v>1</v>
      </c>
      <c r="AY8" s="634"/>
      <c r="AZ8" s="634">
        <v>2</v>
      </c>
      <c r="BA8" s="634"/>
      <c r="BB8" s="167">
        <f t="shared" si="7"/>
        <v>1</v>
      </c>
      <c r="BC8" s="677"/>
      <c r="BD8" s="634">
        <v>2</v>
      </c>
      <c r="BE8" s="634"/>
      <c r="BF8" s="634">
        <v>2</v>
      </c>
      <c r="BG8" s="634"/>
      <c r="BH8" s="167">
        <f t="shared" si="8"/>
        <v>0</v>
      </c>
      <c r="BI8" s="677"/>
      <c r="BJ8" s="634">
        <v>1</v>
      </c>
      <c r="BK8" s="634"/>
      <c r="BL8" s="634">
        <v>2</v>
      </c>
      <c r="BM8" s="634"/>
      <c r="BN8" s="167">
        <f t="shared" si="9"/>
        <v>1</v>
      </c>
      <c r="BO8" s="677"/>
      <c r="BP8" s="634">
        <v>0</v>
      </c>
      <c r="BQ8" s="634"/>
      <c r="BR8" s="634">
        <v>0</v>
      </c>
      <c r="BS8" s="634"/>
      <c r="BT8" s="167">
        <f t="shared" si="10"/>
        <v>0</v>
      </c>
      <c r="BU8" s="677"/>
      <c r="BV8" s="634">
        <v>0</v>
      </c>
      <c r="BW8" s="634"/>
      <c r="BX8" s="634">
        <v>0</v>
      </c>
      <c r="BY8" s="62"/>
      <c r="BZ8" s="678">
        <f t="shared" si="11"/>
        <v>0</v>
      </c>
      <c r="CD8" s="615"/>
      <c r="CE8" s="615">
        <f t="shared" si="12"/>
        <v>0</v>
      </c>
      <c r="CF8" s="615"/>
      <c r="CG8" s="615">
        <f t="shared" si="13"/>
        <v>0</v>
      </c>
      <c r="CH8" s="615">
        <v>0</v>
      </c>
      <c r="CI8" s="615"/>
      <c r="CJ8" s="616"/>
      <c r="CK8" s="616"/>
      <c r="CL8" s="616"/>
      <c r="CM8" s="616"/>
      <c r="CN8" s="616"/>
      <c r="CO8" s="616"/>
      <c r="CP8" s="616"/>
      <c r="CQ8" s="616"/>
      <c r="CR8" s="616"/>
      <c r="CS8" s="616"/>
    </row>
    <row r="9" spans="1:97" ht="15.75" customHeight="1">
      <c r="A9" s="1643" t="s">
        <v>1393</v>
      </c>
      <c r="B9" s="1643" t="s">
        <v>1394</v>
      </c>
      <c r="C9" s="284">
        <v>3</v>
      </c>
      <c r="D9" s="1026" t="s">
        <v>1392</v>
      </c>
      <c r="E9" s="485"/>
      <c r="F9" s="275"/>
      <c r="G9" s="260" t="s">
        <v>486</v>
      </c>
      <c r="H9" s="275" t="s">
        <v>287</v>
      </c>
      <c r="I9" s="635">
        <v>2</v>
      </c>
      <c r="J9" s="601">
        <f t="shared" si="18"/>
        <v>0.98000000000000009</v>
      </c>
      <c r="K9" s="599">
        <f>AVERAGE(BW9,BQ9,BK9,BE9,AY9,AS9,AM9,AG9,AA9,U9)</f>
        <v>1.8</v>
      </c>
      <c r="L9" s="601">
        <f t="shared" si="19"/>
        <v>0.98000000000000009</v>
      </c>
      <c r="M9" s="597">
        <f>AVERAGE(BY9,BS9,BM9,BG9,BA9,AU9,AO9,AI9,AC9,W9)</f>
        <v>1.8</v>
      </c>
      <c r="N9" s="1045">
        <f t="shared" si="14"/>
        <v>0</v>
      </c>
      <c r="O9" s="598">
        <f t="shared" si="1"/>
        <v>0.19999999999999996</v>
      </c>
      <c r="P9" s="597">
        <f t="shared" si="15"/>
        <v>7.9999999999999988E-2</v>
      </c>
      <c r="Q9" s="977">
        <f t="shared" si="16"/>
        <v>8.8888888888888871E-3</v>
      </c>
      <c r="R9" s="978">
        <f t="shared" si="17"/>
        <v>4.4444444444444436E-3</v>
      </c>
      <c r="S9" s="677"/>
      <c r="T9" s="167">
        <f>IF(T11=0,"",T10/T11)</f>
        <v>1</v>
      </c>
      <c r="U9" s="631">
        <f>IF(T9=1,2,0)</f>
        <v>2</v>
      </c>
      <c r="V9" s="167">
        <f>IF(V11=0,"",V10/V11)</f>
        <v>1</v>
      </c>
      <c r="W9" s="1053">
        <f>IF(V9=1,2,0)</f>
        <v>2</v>
      </c>
      <c r="X9" s="167">
        <f t="shared" si="2"/>
        <v>0</v>
      </c>
      <c r="Y9" s="677"/>
      <c r="Z9" s="167">
        <f>IF(Z11=0,"",Z10/Z11)</f>
        <v>1</v>
      </c>
      <c r="AA9" s="634">
        <f>IF(Z9=1,2,0)</f>
        <v>2</v>
      </c>
      <c r="AB9" s="167">
        <f>IF(AB11=0,"",AB10/AB11)</f>
        <v>1</v>
      </c>
      <c r="AC9" s="997">
        <f>IF(AB9=1,2,0)</f>
        <v>2</v>
      </c>
      <c r="AD9" s="167">
        <f t="shared" si="3"/>
        <v>0</v>
      </c>
      <c r="AE9" s="677"/>
      <c r="AF9" s="167">
        <f>IF(AF11=0,"",AF10/AF11)</f>
        <v>0.8</v>
      </c>
      <c r="AG9" s="634">
        <f>IF(AF9=1,2,0)</f>
        <v>0</v>
      </c>
      <c r="AH9" s="167">
        <f>IF(AH11=0,"",AH10/AH11)</f>
        <v>0.8</v>
      </c>
      <c r="AI9" s="634">
        <f>IF(AH9=1,2,0)</f>
        <v>0</v>
      </c>
      <c r="AJ9" s="167">
        <f t="shared" si="4"/>
        <v>0</v>
      </c>
      <c r="AK9" s="677"/>
      <c r="AL9" s="167">
        <f>IF(AL11=0,"",AL10/AL11)</f>
        <v>1</v>
      </c>
      <c r="AM9" s="634">
        <f>IF(AL9=1,2,0)</f>
        <v>2</v>
      </c>
      <c r="AN9" s="167">
        <f>IF(AN11=0,"",AN10/AN11)</f>
        <v>1</v>
      </c>
      <c r="AO9" s="634">
        <f>IF(AN9=1,2,0)</f>
        <v>2</v>
      </c>
      <c r="AP9" s="167">
        <f t="shared" si="5"/>
        <v>0</v>
      </c>
      <c r="AQ9" s="677"/>
      <c r="AR9" s="167">
        <f>IF(AR11=0,"",AR10/AR11)</f>
        <v>1</v>
      </c>
      <c r="AS9" s="634">
        <f>IF(AR9=1,2,0)</f>
        <v>2</v>
      </c>
      <c r="AT9" s="167">
        <f>IF(AT11=0,"",AT10/AT11)</f>
        <v>1</v>
      </c>
      <c r="AU9" s="634">
        <f>IF(AT9=1,2,0)</f>
        <v>2</v>
      </c>
      <c r="AV9" s="167">
        <f t="shared" si="6"/>
        <v>0</v>
      </c>
      <c r="AW9" s="677"/>
      <c r="AX9" s="167">
        <f>IF(AX11=0,"",AX10/AX11)</f>
        <v>1</v>
      </c>
      <c r="AY9" s="634">
        <f>IF(AX9=1,2,0)</f>
        <v>2</v>
      </c>
      <c r="AZ9" s="167">
        <f>IF(AZ11=0,"",AZ10/AZ11)</f>
        <v>1</v>
      </c>
      <c r="BA9" s="634">
        <f>IF(AZ9=1,2,0)</f>
        <v>2</v>
      </c>
      <c r="BB9" s="167">
        <f t="shared" si="7"/>
        <v>0</v>
      </c>
      <c r="BC9" s="677"/>
      <c r="BD9" s="167">
        <f>IF(BD11=0,"",BD10/BD11)</f>
        <v>1</v>
      </c>
      <c r="BE9" s="634">
        <f>IF(BD9=1,2,0)</f>
        <v>2</v>
      </c>
      <c r="BF9" s="167">
        <f>IF(BF11=0,"",BF10/BF11)</f>
        <v>1</v>
      </c>
      <c r="BG9" s="634">
        <f>IF(BF9=1,2,0)</f>
        <v>2</v>
      </c>
      <c r="BH9" s="167">
        <f t="shared" si="8"/>
        <v>0</v>
      </c>
      <c r="BI9" s="677"/>
      <c r="BJ9" s="167">
        <f>IF(BJ11=0,"",BJ10/BJ11)</f>
        <v>1</v>
      </c>
      <c r="BK9" s="634">
        <f>IF(BJ9=1,2,0)</f>
        <v>2</v>
      </c>
      <c r="BL9" s="167">
        <f>IF(BL11=0,"",BL10/BL11)</f>
        <v>1</v>
      </c>
      <c r="BM9" s="634">
        <f>IF(BL9=1,2,0)</f>
        <v>2</v>
      </c>
      <c r="BN9" s="167">
        <f t="shared" si="9"/>
        <v>0</v>
      </c>
      <c r="BO9" s="677"/>
      <c r="BP9" s="167">
        <f>IF(BP11=0,"",BP10/BP11)</f>
        <v>1</v>
      </c>
      <c r="BQ9" s="634">
        <f>IF(BP9=1,2,0)</f>
        <v>2</v>
      </c>
      <c r="BR9" s="167">
        <f>IF(BR11=0,"",BR10/BR11)</f>
        <v>1</v>
      </c>
      <c r="BS9" s="634">
        <f>IF(BR9=1,2,0)</f>
        <v>2</v>
      </c>
      <c r="BT9" s="167">
        <f t="shared" si="10"/>
        <v>0</v>
      </c>
      <c r="BU9" s="677"/>
      <c r="BV9" s="167">
        <f>IF(BV11=0,"",BV10/BV11)</f>
        <v>1</v>
      </c>
      <c r="BW9" s="634">
        <f>IF(BV9=1,2,0)</f>
        <v>2</v>
      </c>
      <c r="BX9" s="167">
        <f>IF(BX11=0,"",BX10/BX11)</f>
        <v>1</v>
      </c>
      <c r="BY9" s="631">
        <f>IF(BX9=1,2,0)</f>
        <v>2</v>
      </c>
      <c r="BZ9" s="678">
        <f t="shared" si="11"/>
        <v>0</v>
      </c>
      <c r="CD9" s="615">
        <v>1</v>
      </c>
      <c r="CE9" s="615">
        <f t="shared" si="12"/>
        <v>1.8</v>
      </c>
      <c r="CF9" s="615">
        <v>1</v>
      </c>
      <c r="CG9" s="615">
        <f t="shared" si="13"/>
        <v>1.8</v>
      </c>
      <c r="CH9" s="615">
        <v>0</v>
      </c>
      <c r="CI9" s="615"/>
      <c r="CJ9" s="616"/>
      <c r="CK9" s="616"/>
      <c r="CL9" s="616"/>
      <c r="CM9" s="616"/>
      <c r="CN9" s="616"/>
      <c r="CO9" s="616"/>
      <c r="CP9" s="616"/>
      <c r="CQ9" s="616"/>
      <c r="CR9" s="616"/>
      <c r="CS9" s="616"/>
    </row>
    <row r="10" spans="1:97" ht="27.75" customHeight="1">
      <c r="A10" s="1626"/>
      <c r="B10" s="1626"/>
      <c r="C10" s="504">
        <v>3.1</v>
      </c>
      <c r="D10" s="461" t="s">
        <v>1395</v>
      </c>
      <c r="E10" s="490" t="s">
        <v>259</v>
      </c>
      <c r="F10" s="275"/>
      <c r="G10" s="275"/>
      <c r="H10" s="275"/>
      <c r="I10" s="260"/>
      <c r="J10" s="601">
        <f t="shared" si="18"/>
        <v>3.2</v>
      </c>
      <c r="K10" s="599"/>
      <c r="L10" s="601">
        <f t="shared" si="19"/>
        <v>3.4</v>
      </c>
      <c r="M10" s="597"/>
      <c r="N10" s="579">
        <f t="shared" si="14"/>
        <v>0</v>
      </c>
      <c r="O10" s="598">
        <f t="shared" si="1"/>
        <v>0</v>
      </c>
      <c r="P10" s="597">
        <f t="shared" si="15"/>
        <v>0</v>
      </c>
      <c r="Q10" s="977">
        <f t="shared" si="16"/>
        <v>0</v>
      </c>
      <c r="R10" s="978">
        <f t="shared" si="17"/>
        <v>0</v>
      </c>
      <c r="S10" s="677"/>
      <c r="T10" s="634">
        <v>3</v>
      </c>
      <c r="U10" s="62"/>
      <c r="V10" s="634">
        <v>3</v>
      </c>
      <c r="W10" s="1053"/>
      <c r="X10" s="167">
        <f t="shared" si="2"/>
        <v>0</v>
      </c>
      <c r="Y10" s="677"/>
      <c r="Z10" s="634">
        <v>3</v>
      </c>
      <c r="AA10" s="634"/>
      <c r="AB10" s="634">
        <v>4</v>
      </c>
      <c r="AC10" s="997"/>
      <c r="AD10" s="167">
        <f t="shared" si="3"/>
        <v>0.33333333333333326</v>
      </c>
      <c r="AE10" s="677"/>
      <c r="AF10" s="634">
        <v>4</v>
      </c>
      <c r="AG10" s="634"/>
      <c r="AH10" s="634">
        <v>4</v>
      </c>
      <c r="AI10" s="634"/>
      <c r="AJ10" s="167">
        <f t="shared" si="4"/>
        <v>0</v>
      </c>
      <c r="AK10" s="677"/>
      <c r="AL10" s="634">
        <v>2</v>
      </c>
      <c r="AM10" s="634"/>
      <c r="AN10" s="634">
        <v>2</v>
      </c>
      <c r="AO10" s="634"/>
      <c r="AP10" s="167">
        <f t="shared" si="5"/>
        <v>0</v>
      </c>
      <c r="AQ10" s="677"/>
      <c r="AR10" s="634">
        <v>5</v>
      </c>
      <c r="AS10" s="634"/>
      <c r="AT10" s="634">
        <v>5</v>
      </c>
      <c r="AU10" s="634"/>
      <c r="AV10" s="167">
        <f t="shared" si="6"/>
        <v>0</v>
      </c>
      <c r="AW10" s="677"/>
      <c r="AX10" s="634">
        <v>4</v>
      </c>
      <c r="AY10" s="634"/>
      <c r="AZ10" s="634">
        <v>4</v>
      </c>
      <c r="BA10" s="634"/>
      <c r="BB10" s="167">
        <f t="shared" si="7"/>
        <v>0</v>
      </c>
      <c r="BC10" s="677"/>
      <c r="BD10" s="634">
        <v>3</v>
      </c>
      <c r="BE10" s="634"/>
      <c r="BF10" s="634">
        <v>3</v>
      </c>
      <c r="BG10" s="634"/>
      <c r="BH10" s="167">
        <f t="shared" si="8"/>
        <v>0</v>
      </c>
      <c r="BI10" s="677"/>
      <c r="BJ10" s="634">
        <v>2</v>
      </c>
      <c r="BK10" s="634"/>
      <c r="BL10" s="634">
        <v>3</v>
      </c>
      <c r="BM10" s="634"/>
      <c r="BN10" s="167">
        <f t="shared" si="9"/>
        <v>0.5</v>
      </c>
      <c r="BO10" s="677"/>
      <c r="BP10" s="634">
        <v>3</v>
      </c>
      <c r="BQ10" s="634"/>
      <c r="BR10" s="634">
        <v>3</v>
      </c>
      <c r="BS10" s="634"/>
      <c r="BT10" s="167">
        <f t="shared" si="10"/>
        <v>0</v>
      </c>
      <c r="BU10" s="677"/>
      <c r="BV10" s="634">
        <v>3</v>
      </c>
      <c r="BW10" s="634"/>
      <c r="BX10" s="634">
        <v>3</v>
      </c>
      <c r="BY10" s="62"/>
      <c r="BZ10" s="678">
        <f t="shared" si="11"/>
        <v>0</v>
      </c>
      <c r="CD10" s="615"/>
      <c r="CE10" s="615">
        <f t="shared" si="12"/>
        <v>0</v>
      </c>
      <c r="CF10" s="615"/>
      <c r="CG10" s="615">
        <f t="shared" si="13"/>
        <v>0</v>
      </c>
      <c r="CH10" s="615">
        <v>0</v>
      </c>
      <c r="CI10" s="615"/>
      <c r="CJ10" s="616"/>
      <c r="CK10" s="616"/>
      <c r="CL10" s="616"/>
      <c r="CM10" s="616"/>
      <c r="CN10" s="616"/>
      <c r="CO10" s="616"/>
      <c r="CP10" s="616"/>
      <c r="CQ10" s="616"/>
      <c r="CR10" s="616"/>
      <c r="CS10" s="616"/>
    </row>
    <row r="11" spans="1:97" ht="18.75" customHeight="1">
      <c r="A11" s="1612"/>
      <c r="B11" s="1612"/>
      <c r="C11" s="504">
        <v>3.2</v>
      </c>
      <c r="D11" s="638" t="s">
        <v>1396</v>
      </c>
      <c r="E11" s="490" t="s">
        <v>259</v>
      </c>
      <c r="F11" s="275"/>
      <c r="G11" s="260"/>
      <c r="H11" s="275"/>
      <c r="I11" s="260"/>
      <c r="J11" s="601">
        <f t="shared" si="18"/>
        <v>3.3</v>
      </c>
      <c r="K11" s="599"/>
      <c r="L11" s="601">
        <f t="shared" si="19"/>
        <v>3.5</v>
      </c>
      <c r="M11" s="597"/>
      <c r="N11" s="579">
        <f t="shared" si="14"/>
        <v>0</v>
      </c>
      <c r="O11" s="598">
        <f t="shared" si="1"/>
        <v>0</v>
      </c>
      <c r="P11" s="597">
        <f t="shared" si="15"/>
        <v>0</v>
      </c>
      <c r="Q11" s="977">
        <f t="shared" si="16"/>
        <v>0</v>
      </c>
      <c r="R11" s="978">
        <f t="shared" si="17"/>
        <v>0</v>
      </c>
      <c r="S11" s="677"/>
      <c r="T11" s="634">
        <v>3</v>
      </c>
      <c r="U11" s="62"/>
      <c r="V11" s="634">
        <v>3</v>
      </c>
      <c r="W11" s="1053"/>
      <c r="X11" s="167">
        <f t="shared" si="2"/>
        <v>0</v>
      </c>
      <c r="Y11" s="677"/>
      <c r="Z11" s="634">
        <v>3</v>
      </c>
      <c r="AA11" s="634"/>
      <c r="AB11" s="634">
        <v>4</v>
      </c>
      <c r="AC11" s="997"/>
      <c r="AD11" s="167">
        <f t="shared" si="3"/>
        <v>0.33333333333333326</v>
      </c>
      <c r="AE11" s="677"/>
      <c r="AF11" s="634">
        <v>5</v>
      </c>
      <c r="AG11" s="634"/>
      <c r="AH11" s="634">
        <v>5</v>
      </c>
      <c r="AI11" s="634"/>
      <c r="AJ11" s="167">
        <f t="shared" si="4"/>
        <v>0</v>
      </c>
      <c r="AK11" s="677"/>
      <c r="AL11" s="634">
        <v>2</v>
      </c>
      <c r="AM11" s="634"/>
      <c r="AN11" s="634">
        <v>2</v>
      </c>
      <c r="AO11" s="634"/>
      <c r="AP11" s="167">
        <f t="shared" si="5"/>
        <v>0</v>
      </c>
      <c r="AQ11" s="677"/>
      <c r="AR11" s="634">
        <v>5</v>
      </c>
      <c r="AS11" s="634"/>
      <c r="AT11" s="634">
        <v>5</v>
      </c>
      <c r="AU11" s="634"/>
      <c r="AV11" s="167">
        <f t="shared" si="6"/>
        <v>0</v>
      </c>
      <c r="AW11" s="677"/>
      <c r="AX11" s="634">
        <v>4</v>
      </c>
      <c r="AY11" s="634"/>
      <c r="AZ11" s="634">
        <v>4</v>
      </c>
      <c r="BA11" s="634"/>
      <c r="BB11" s="167">
        <f t="shared" si="7"/>
        <v>0</v>
      </c>
      <c r="BC11" s="677"/>
      <c r="BD11" s="634">
        <v>3</v>
      </c>
      <c r="BE11" s="634"/>
      <c r="BF11" s="634">
        <v>3</v>
      </c>
      <c r="BG11" s="634"/>
      <c r="BH11" s="167">
        <f t="shared" si="8"/>
        <v>0</v>
      </c>
      <c r="BI11" s="677"/>
      <c r="BJ11" s="634">
        <v>2</v>
      </c>
      <c r="BK11" s="634"/>
      <c r="BL11" s="634">
        <v>3</v>
      </c>
      <c r="BM11" s="634"/>
      <c r="BN11" s="167">
        <f t="shared" si="9"/>
        <v>0.5</v>
      </c>
      <c r="BO11" s="677"/>
      <c r="BP11" s="634">
        <v>3</v>
      </c>
      <c r="BQ11" s="634"/>
      <c r="BR11" s="634">
        <v>3</v>
      </c>
      <c r="BS11" s="634"/>
      <c r="BT11" s="167">
        <f t="shared" si="10"/>
        <v>0</v>
      </c>
      <c r="BU11" s="677"/>
      <c r="BV11" s="634">
        <v>3</v>
      </c>
      <c r="BW11" s="634"/>
      <c r="BX11" s="634">
        <v>3</v>
      </c>
      <c r="BY11" s="62"/>
      <c r="BZ11" s="678">
        <f t="shared" si="11"/>
        <v>0</v>
      </c>
      <c r="CD11" s="615"/>
      <c r="CE11" s="615">
        <f t="shared" si="12"/>
        <v>0</v>
      </c>
      <c r="CF11" s="615"/>
      <c r="CG11" s="615">
        <f t="shared" si="13"/>
        <v>0</v>
      </c>
      <c r="CH11" s="615">
        <v>0</v>
      </c>
      <c r="CI11" s="615"/>
      <c r="CJ11" s="616"/>
      <c r="CK11" s="616"/>
      <c r="CL11" s="616"/>
      <c r="CM11" s="616"/>
      <c r="CN11" s="616"/>
      <c r="CO11" s="616"/>
      <c r="CP11" s="616"/>
      <c r="CQ11" s="616"/>
      <c r="CR11" s="616"/>
      <c r="CS11" s="616"/>
    </row>
    <row r="12" spans="1:97" ht="21.75" customHeight="1">
      <c r="A12" s="1644" t="s">
        <v>1397</v>
      </c>
      <c r="B12" s="1644" t="s">
        <v>1398</v>
      </c>
      <c r="C12" s="284">
        <v>4</v>
      </c>
      <c r="D12" s="79" t="s">
        <v>55</v>
      </c>
      <c r="E12" s="482"/>
      <c r="F12" s="61"/>
      <c r="G12" s="260" t="s">
        <v>490</v>
      </c>
      <c r="H12" s="61" t="s">
        <v>287</v>
      </c>
      <c r="I12" s="635">
        <v>2</v>
      </c>
      <c r="J12" s="601">
        <f t="shared" si="18"/>
        <v>15.14</v>
      </c>
      <c r="K12" s="599">
        <f>AVERAGE(BW12,BQ12,BK12,BE12,AY12,AS12,AM12,AG12,AA12,U12)</f>
        <v>2</v>
      </c>
      <c r="L12" s="601">
        <f t="shared" si="19"/>
        <v>16.723333333333333</v>
      </c>
      <c r="M12" s="597">
        <f>AVERAGE(BY12,BS12,BM12,BG12,BA12,AU12,AO12,AI12,AC12,W12)</f>
        <v>2</v>
      </c>
      <c r="N12" s="579">
        <f t="shared" si="14"/>
        <v>0</v>
      </c>
      <c r="O12" s="598">
        <f t="shared" si="1"/>
        <v>0</v>
      </c>
      <c r="P12" s="597">
        <f t="shared" si="15"/>
        <v>0</v>
      </c>
      <c r="Q12" s="977">
        <f t="shared" si="16"/>
        <v>0</v>
      </c>
      <c r="R12" s="978">
        <f t="shared" si="17"/>
        <v>0</v>
      </c>
      <c r="S12" s="677"/>
      <c r="T12" s="64">
        <f>IF(SUM(T14:T15)=0,"",T13/SUM(T14:T15))</f>
        <v>20</v>
      </c>
      <c r="U12" s="631">
        <f>IF(T12&gt;=2,2,0)</f>
        <v>2</v>
      </c>
      <c r="V12" s="64">
        <f>IF(SUM(V14:V15)=0,"",V13/SUM(V14:V15))</f>
        <v>22</v>
      </c>
      <c r="W12" s="1053">
        <f>IF(V12&gt;=2,2,0)</f>
        <v>2</v>
      </c>
      <c r="X12" s="167">
        <f t="shared" si="2"/>
        <v>0.10000000000000009</v>
      </c>
      <c r="Y12" s="677"/>
      <c r="Z12" s="64">
        <f>IF(SUM(Z14:Z15)=0,"",Z13/SUM(Z14:Z15))</f>
        <v>11.5</v>
      </c>
      <c r="AA12" s="634">
        <f>IF(Z12&gt;=2,2,0)</f>
        <v>2</v>
      </c>
      <c r="AB12" s="64">
        <f>IF(SUM(AB14:AB15)=0,"",AB13/SUM(AB14:AB15))</f>
        <v>12.6</v>
      </c>
      <c r="AC12" s="997">
        <f>IF(AB12&gt;=2,2,0)</f>
        <v>2</v>
      </c>
      <c r="AD12" s="167">
        <f t="shared" si="3"/>
        <v>9.565217391304337E-2</v>
      </c>
      <c r="AE12" s="677"/>
      <c r="AF12" s="64">
        <f>IF(SUM(AF14:AF15)=0,"",AF13/SUM(AF14:AF15))</f>
        <v>18.2</v>
      </c>
      <c r="AG12" s="634">
        <f>IF(AF12&gt;=2,2,0)</f>
        <v>2</v>
      </c>
      <c r="AH12" s="64">
        <f>IF(SUM(AH14:AH15)=0,"",AH13/SUM(AH14:AH15))</f>
        <v>13.8</v>
      </c>
      <c r="AI12" s="634">
        <f>IF(AH12&gt;=2,2,0)</f>
        <v>2</v>
      </c>
      <c r="AJ12" s="167">
        <f t="shared" si="4"/>
        <v>-0.24175824175824168</v>
      </c>
      <c r="AK12" s="677"/>
      <c r="AL12" s="64">
        <f>IF(SUM(AL14:AL15)=0,"",AL13/SUM(AL14:AL15))</f>
        <v>19.5</v>
      </c>
      <c r="AM12" s="634">
        <f>IF(AL12&gt;=2,2,0)</f>
        <v>2</v>
      </c>
      <c r="AN12" s="64">
        <f>IF(SUM(AN14:AN15)=0,"",AN13/SUM(AN14:AN15))</f>
        <v>19</v>
      </c>
      <c r="AO12" s="634">
        <f>IF(AN12&gt;=2,2,0)</f>
        <v>2</v>
      </c>
      <c r="AP12" s="167">
        <f t="shared" si="5"/>
        <v>-2.5641025641025661E-2</v>
      </c>
      <c r="AQ12" s="677"/>
      <c r="AR12" s="64">
        <f>IF(SUM(AR14:AR15)=0,"",AR13/SUM(AR14:AR15))</f>
        <v>10.199999999999999</v>
      </c>
      <c r="AS12" s="634">
        <f>IF(AR12&gt;=2,2,0)</f>
        <v>2</v>
      </c>
      <c r="AT12" s="64">
        <f>IF(SUM(AT14:AT15)=0,"",AT13/SUM(AT14:AT15))</f>
        <v>10.6</v>
      </c>
      <c r="AU12" s="634">
        <f>IF(AT12&gt;=2,2,0)</f>
        <v>2</v>
      </c>
      <c r="AV12" s="167">
        <f t="shared" si="6"/>
        <v>3.9215686274509887E-2</v>
      </c>
      <c r="AW12" s="677"/>
      <c r="AX12" s="64">
        <f>IF(SUM(AX14:AX15)=0,"",AX13/SUM(AX14:AX15))</f>
        <v>19</v>
      </c>
      <c r="AY12" s="634">
        <f>IF(AX12&gt;=2,2,0)</f>
        <v>2</v>
      </c>
      <c r="AZ12" s="64">
        <f>IF(SUM(AZ14:AZ15)=0,"",AZ13/SUM(AZ14:AZ15))</f>
        <v>21.4</v>
      </c>
      <c r="BA12" s="634">
        <f>IF(AZ12&gt;=2,2,0)</f>
        <v>2</v>
      </c>
      <c r="BB12" s="167">
        <f t="shared" si="7"/>
        <v>0.12631578947368416</v>
      </c>
      <c r="BC12" s="677"/>
      <c r="BD12" s="64">
        <f>IF(SUM(BD14:BD15)=0,"",BD13/SUM(BD14:BD15))</f>
        <v>17</v>
      </c>
      <c r="BE12" s="634">
        <f>IF(BD12&gt;=2,2,0)</f>
        <v>2</v>
      </c>
      <c r="BF12" s="64">
        <f>IF(SUM(BF14:BF15)=0,"",BF13/SUM(BF14:BF15))</f>
        <v>15.666666666666666</v>
      </c>
      <c r="BG12" s="634">
        <f>IF(BF12&gt;=2,2,0)</f>
        <v>2</v>
      </c>
      <c r="BH12" s="167">
        <f t="shared" si="8"/>
        <v>-7.8431372549019662E-2</v>
      </c>
      <c r="BI12" s="677"/>
      <c r="BJ12" s="64">
        <f>IF(SUM(BJ14:BJ15)=0,"",BJ13/SUM(BJ14:BJ15))</f>
        <v>13.333333333333334</v>
      </c>
      <c r="BK12" s="634">
        <f>IF(BJ12&gt;=2,2,0)</f>
        <v>2</v>
      </c>
      <c r="BL12" s="64">
        <f>IF(SUM(BL14:BL15)=0,"",BL13/SUM(BL14:BL15))</f>
        <v>13.5</v>
      </c>
      <c r="BM12" s="634">
        <f>IF(BL12&gt;=2,2,0)</f>
        <v>2</v>
      </c>
      <c r="BN12" s="167">
        <f t="shared" si="9"/>
        <v>1.2499999999999956E-2</v>
      </c>
      <c r="BO12" s="677"/>
      <c r="BP12" s="64">
        <f>IF(SUM(BP14:BP15)=0,"",BP13/SUM(BP14:BP15))</f>
        <v>11.666666666666666</v>
      </c>
      <c r="BQ12" s="634">
        <f>IF(BP12&gt;=2,2,0)</f>
        <v>2</v>
      </c>
      <c r="BR12" s="64">
        <f>IF(SUM(BR14:BR15)=0,"",BR13/SUM(BR14:BR15))</f>
        <v>22.333333333333332</v>
      </c>
      <c r="BS12" s="634">
        <f>IF(BR12&gt;=2,2,0)</f>
        <v>2</v>
      </c>
      <c r="BT12" s="167">
        <f t="shared" si="10"/>
        <v>0.91428571428571437</v>
      </c>
      <c r="BU12" s="677"/>
      <c r="BV12" s="64">
        <f>IF(SUM(BV14:BV15)=0,"",BV13/SUM(BV14:BV15))</f>
        <v>11</v>
      </c>
      <c r="BW12" s="634">
        <f>IF(BV12&gt;=2,2,0)</f>
        <v>2</v>
      </c>
      <c r="BX12" s="64">
        <f>IF(SUM(BX14:BX15)=0,"",BX13/SUM(BX14:BX15))</f>
        <v>16.333333333333332</v>
      </c>
      <c r="BY12" s="631">
        <f>IF(BX12&gt;=2,2,0)</f>
        <v>2</v>
      </c>
      <c r="BZ12" s="678">
        <f t="shared" si="11"/>
        <v>0.48484848484848464</v>
      </c>
      <c r="CD12" s="615">
        <v>1</v>
      </c>
      <c r="CE12" s="615">
        <f t="shared" si="12"/>
        <v>2</v>
      </c>
      <c r="CF12" s="615">
        <v>1</v>
      </c>
      <c r="CG12" s="615">
        <f t="shared" si="13"/>
        <v>2</v>
      </c>
      <c r="CH12" s="615">
        <v>0</v>
      </c>
      <c r="CI12" s="615"/>
      <c r="CJ12" s="616"/>
      <c r="CK12" s="616"/>
      <c r="CL12" s="616"/>
      <c r="CM12" s="616"/>
      <c r="CN12" s="616"/>
      <c r="CO12" s="616"/>
      <c r="CP12" s="616"/>
      <c r="CQ12" s="616"/>
      <c r="CR12" s="616"/>
      <c r="CS12" s="616"/>
    </row>
    <row r="13" spans="1:97" ht="20.25" customHeight="1">
      <c r="A13" s="1626"/>
      <c r="B13" s="1626"/>
      <c r="C13" s="504">
        <v>4.0999999999999996</v>
      </c>
      <c r="D13" s="638" t="s">
        <v>239</v>
      </c>
      <c r="E13" s="490" t="s">
        <v>259</v>
      </c>
      <c r="F13" s="275"/>
      <c r="G13" s="260"/>
      <c r="H13" s="275"/>
      <c r="I13" s="260"/>
      <c r="J13" s="601">
        <f t="shared" si="18"/>
        <v>54.1</v>
      </c>
      <c r="K13" s="599"/>
      <c r="L13" s="601">
        <f t="shared" si="19"/>
        <v>61.3</v>
      </c>
      <c r="M13" s="597"/>
      <c r="N13" s="579">
        <f t="shared" si="14"/>
        <v>0</v>
      </c>
      <c r="O13" s="598">
        <f t="shared" si="1"/>
        <v>0</v>
      </c>
      <c r="P13" s="597">
        <f t="shared" si="15"/>
        <v>0</v>
      </c>
      <c r="Q13" s="977">
        <f t="shared" si="16"/>
        <v>0</v>
      </c>
      <c r="R13" s="978">
        <f t="shared" si="17"/>
        <v>0</v>
      </c>
      <c r="S13" s="677"/>
      <c r="T13" s="634">
        <v>60</v>
      </c>
      <c r="U13" s="62"/>
      <c r="V13" s="634">
        <v>66</v>
      </c>
      <c r="W13" s="1053"/>
      <c r="X13" s="167">
        <f t="shared" si="2"/>
        <v>0.10000000000000009</v>
      </c>
      <c r="Y13" s="677"/>
      <c r="Z13" s="634">
        <v>46</v>
      </c>
      <c r="AA13" s="634"/>
      <c r="AB13" s="634">
        <v>63</v>
      </c>
      <c r="AC13" s="997"/>
      <c r="AD13" s="167">
        <f t="shared" si="3"/>
        <v>0.36956521739130443</v>
      </c>
      <c r="AE13" s="677"/>
      <c r="AF13" s="634">
        <v>91</v>
      </c>
      <c r="AG13" s="634"/>
      <c r="AH13" s="634">
        <v>69</v>
      </c>
      <c r="AI13" s="634"/>
      <c r="AJ13" s="167">
        <f t="shared" si="4"/>
        <v>-0.24175824175824179</v>
      </c>
      <c r="AK13" s="677"/>
      <c r="AL13" s="634">
        <v>39</v>
      </c>
      <c r="AM13" s="634"/>
      <c r="AN13" s="634">
        <v>38</v>
      </c>
      <c r="AO13" s="634"/>
      <c r="AP13" s="167">
        <f t="shared" si="5"/>
        <v>-2.5641025641025661E-2</v>
      </c>
      <c r="AQ13" s="677"/>
      <c r="AR13" s="634">
        <v>51</v>
      </c>
      <c r="AS13" s="634"/>
      <c r="AT13" s="634">
        <v>53</v>
      </c>
      <c r="AU13" s="634"/>
      <c r="AV13" s="167">
        <f t="shared" si="6"/>
        <v>3.9215686274509887E-2</v>
      </c>
      <c r="AW13" s="677"/>
      <c r="AX13" s="634">
        <v>95</v>
      </c>
      <c r="AY13" s="634"/>
      <c r="AZ13" s="634">
        <v>107</v>
      </c>
      <c r="BA13" s="634"/>
      <c r="BB13" s="167">
        <f t="shared" si="7"/>
        <v>0.12631578947368416</v>
      </c>
      <c r="BC13" s="677"/>
      <c r="BD13" s="634">
        <v>51</v>
      </c>
      <c r="BE13" s="634"/>
      <c r="BF13" s="634">
        <v>47</v>
      </c>
      <c r="BG13" s="634"/>
      <c r="BH13" s="167">
        <f t="shared" si="8"/>
        <v>-7.8431372549019662E-2</v>
      </c>
      <c r="BI13" s="677"/>
      <c r="BJ13" s="634">
        <v>40</v>
      </c>
      <c r="BK13" s="634"/>
      <c r="BL13" s="634">
        <v>54</v>
      </c>
      <c r="BM13" s="634"/>
      <c r="BN13" s="167">
        <f t="shared" si="9"/>
        <v>0.35000000000000009</v>
      </c>
      <c r="BO13" s="677"/>
      <c r="BP13" s="634">
        <v>35</v>
      </c>
      <c r="BQ13" s="634"/>
      <c r="BR13" s="634">
        <v>67</v>
      </c>
      <c r="BS13" s="634"/>
      <c r="BT13" s="167">
        <f t="shared" si="10"/>
        <v>0.91428571428571437</v>
      </c>
      <c r="BU13" s="677"/>
      <c r="BV13" s="634">
        <v>33</v>
      </c>
      <c r="BW13" s="634"/>
      <c r="BX13" s="634">
        <v>49</v>
      </c>
      <c r="BY13" s="62"/>
      <c r="BZ13" s="678">
        <f t="shared" si="11"/>
        <v>0.48484848484848486</v>
      </c>
      <c r="CD13" s="615"/>
      <c r="CE13" s="615">
        <f t="shared" si="12"/>
        <v>0</v>
      </c>
      <c r="CF13" s="615"/>
      <c r="CG13" s="615">
        <f t="shared" si="13"/>
        <v>0</v>
      </c>
      <c r="CH13" s="615">
        <v>0</v>
      </c>
      <c r="CI13" s="615"/>
      <c r="CJ13" s="616"/>
      <c r="CK13" s="616"/>
      <c r="CL13" s="616"/>
      <c r="CM13" s="616"/>
      <c r="CN13" s="616"/>
      <c r="CO13" s="616"/>
      <c r="CP13" s="616"/>
      <c r="CQ13" s="616"/>
      <c r="CR13" s="616"/>
      <c r="CS13" s="616"/>
    </row>
    <row r="14" spans="1:97" ht="15.75" customHeight="1">
      <c r="A14" s="1612"/>
      <c r="B14" s="1612"/>
      <c r="C14" s="504">
        <v>4.2</v>
      </c>
      <c r="D14" s="638" t="s">
        <v>1399</v>
      </c>
      <c r="E14" s="490" t="s">
        <v>259</v>
      </c>
      <c r="F14" s="275"/>
      <c r="G14" s="260"/>
      <c r="H14" s="275"/>
      <c r="I14" s="260"/>
      <c r="J14" s="601">
        <f t="shared" si="18"/>
        <v>3.6</v>
      </c>
      <c r="K14" s="599"/>
      <c r="L14" s="601">
        <f t="shared" si="19"/>
        <v>3.8</v>
      </c>
      <c r="M14" s="597"/>
      <c r="N14" s="579">
        <f t="shared" si="14"/>
        <v>0</v>
      </c>
      <c r="O14" s="598">
        <f t="shared" si="1"/>
        <v>0</v>
      </c>
      <c r="P14" s="597">
        <f t="shared" si="15"/>
        <v>0</v>
      </c>
      <c r="Q14" s="977">
        <f t="shared" si="16"/>
        <v>0</v>
      </c>
      <c r="R14" s="978">
        <f t="shared" si="17"/>
        <v>0</v>
      </c>
      <c r="S14" s="677"/>
      <c r="T14" s="634">
        <v>3</v>
      </c>
      <c r="U14" s="62"/>
      <c r="V14" s="634">
        <v>3</v>
      </c>
      <c r="W14" s="1053"/>
      <c r="X14" s="167">
        <f t="shared" si="2"/>
        <v>0</v>
      </c>
      <c r="Y14" s="677"/>
      <c r="Z14" s="634">
        <v>4</v>
      </c>
      <c r="AA14" s="634"/>
      <c r="AB14" s="634">
        <v>5</v>
      </c>
      <c r="AC14" s="997"/>
      <c r="AD14" s="167">
        <f t="shared" si="3"/>
        <v>0.25</v>
      </c>
      <c r="AE14" s="677"/>
      <c r="AF14" s="634">
        <v>5</v>
      </c>
      <c r="AG14" s="634"/>
      <c r="AH14" s="634">
        <v>5</v>
      </c>
      <c r="AI14" s="634"/>
      <c r="AJ14" s="167">
        <f t="shared" si="4"/>
        <v>0</v>
      </c>
      <c r="AK14" s="677"/>
      <c r="AL14" s="634">
        <v>2</v>
      </c>
      <c r="AM14" s="634"/>
      <c r="AN14" s="634">
        <v>2</v>
      </c>
      <c r="AO14" s="634"/>
      <c r="AP14" s="167">
        <f t="shared" si="5"/>
        <v>0</v>
      </c>
      <c r="AQ14" s="677"/>
      <c r="AR14" s="634">
        <v>5</v>
      </c>
      <c r="AS14" s="634"/>
      <c r="AT14" s="634">
        <v>5</v>
      </c>
      <c r="AU14" s="634"/>
      <c r="AV14" s="167">
        <f t="shared" si="6"/>
        <v>0</v>
      </c>
      <c r="AW14" s="677"/>
      <c r="AX14" s="634">
        <v>5</v>
      </c>
      <c r="AY14" s="634"/>
      <c r="AZ14" s="634">
        <v>5</v>
      </c>
      <c r="BA14" s="634"/>
      <c r="BB14" s="167">
        <f t="shared" si="7"/>
        <v>0</v>
      </c>
      <c r="BC14" s="677"/>
      <c r="BD14" s="634">
        <v>3</v>
      </c>
      <c r="BE14" s="634"/>
      <c r="BF14" s="634">
        <v>3</v>
      </c>
      <c r="BG14" s="634"/>
      <c r="BH14" s="167">
        <f t="shared" si="8"/>
        <v>0</v>
      </c>
      <c r="BI14" s="677"/>
      <c r="BJ14" s="634">
        <v>3</v>
      </c>
      <c r="BK14" s="634"/>
      <c r="BL14" s="634">
        <v>4</v>
      </c>
      <c r="BM14" s="634"/>
      <c r="BN14" s="167">
        <f t="shared" si="9"/>
        <v>0.33333333333333326</v>
      </c>
      <c r="BO14" s="677"/>
      <c r="BP14" s="634">
        <v>3</v>
      </c>
      <c r="BQ14" s="634"/>
      <c r="BR14" s="634">
        <v>3</v>
      </c>
      <c r="BS14" s="634"/>
      <c r="BT14" s="167">
        <f t="shared" si="10"/>
        <v>0</v>
      </c>
      <c r="BU14" s="677"/>
      <c r="BV14" s="634">
        <v>3</v>
      </c>
      <c r="BW14" s="634"/>
      <c r="BX14" s="634">
        <v>3</v>
      </c>
      <c r="BY14" s="62"/>
      <c r="BZ14" s="678">
        <f t="shared" si="11"/>
        <v>0</v>
      </c>
      <c r="CD14" s="615"/>
      <c r="CE14" s="615">
        <f t="shared" si="12"/>
        <v>0</v>
      </c>
      <c r="CF14" s="615"/>
      <c r="CG14" s="615">
        <f t="shared" si="13"/>
        <v>0</v>
      </c>
      <c r="CH14" s="615">
        <v>0</v>
      </c>
      <c r="CI14" s="615"/>
      <c r="CJ14" s="616"/>
      <c r="CK14" s="616"/>
      <c r="CL14" s="616"/>
      <c r="CM14" s="616"/>
      <c r="CN14" s="616"/>
      <c r="CO14" s="616"/>
      <c r="CP14" s="616"/>
      <c r="CQ14" s="616"/>
      <c r="CR14" s="616"/>
      <c r="CS14" s="616"/>
    </row>
    <row r="15" spans="1:97" ht="18.75" customHeight="1">
      <c r="A15" s="41" t="s">
        <v>1401</v>
      </c>
      <c r="B15" s="41" t="s">
        <v>1402</v>
      </c>
      <c r="C15" s="284">
        <v>5</v>
      </c>
      <c r="D15" s="79" t="s">
        <v>1400</v>
      </c>
      <c r="E15" s="490" t="s">
        <v>259</v>
      </c>
      <c r="F15" s="275"/>
      <c r="G15" s="260" t="s">
        <v>486</v>
      </c>
      <c r="H15" s="275" t="s">
        <v>287</v>
      </c>
      <c r="I15" s="635">
        <v>2</v>
      </c>
      <c r="J15" s="638" t="s">
        <v>1403</v>
      </c>
      <c r="K15" s="599">
        <f>AVERAGE(BW15,BQ15,BK15,BE15,AY15,AS15,AM15,AG15,AA15,U15)</f>
        <v>2</v>
      </c>
      <c r="L15" s="638" t="s">
        <v>1403</v>
      </c>
      <c r="M15" s="597">
        <f>AVERAGE(BY15,BS15,BM15,BG15,BA15,AU15,AO15,AI15,AC15,W15)</f>
        <v>2</v>
      </c>
      <c r="N15" s="579">
        <f t="shared" si="14"/>
        <v>0</v>
      </c>
      <c r="O15" s="598">
        <f t="shared" si="1"/>
        <v>0</v>
      </c>
      <c r="P15" s="597">
        <f t="shared" si="15"/>
        <v>0</v>
      </c>
      <c r="Q15" s="977">
        <f t="shared" si="16"/>
        <v>0</v>
      </c>
      <c r="R15" s="978">
        <f t="shared" si="17"/>
        <v>0</v>
      </c>
      <c r="S15" s="677"/>
      <c r="T15" s="638" t="s">
        <v>1403</v>
      </c>
      <c r="U15" s="631">
        <v>2</v>
      </c>
      <c r="V15" s="638" t="s">
        <v>1403</v>
      </c>
      <c r="W15" s="1053">
        <v>2</v>
      </c>
      <c r="X15" s="167">
        <f>IF((V15=T15)=TRUE,0,1)</f>
        <v>0</v>
      </c>
      <c r="Y15" s="677"/>
      <c r="Z15" s="638" t="s">
        <v>1403</v>
      </c>
      <c r="AA15" s="634">
        <v>2</v>
      </c>
      <c r="AB15" s="638" t="s">
        <v>1403</v>
      </c>
      <c r="AC15" s="997">
        <v>2</v>
      </c>
      <c r="AD15" s="167">
        <f>IF((AB15=Z15)=TRUE,0,1)</f>
        <v>0</v>
      </c>
      <c r="AE15" s="677"/>
      <c r="AF15" s="638" t="s">
        <v>1403</v>
      </c>
      <c r="AG15" s="634">
        <v>2</v>
      </c>
      <c r="AH15" s="638" t="s">
        <v>1403</v>
      </c>
      <c r="AI15" s="634">
        <v>2</v>
      </c>
      <c r="AJ15" s="167">
        <f>IF((AH15=AF15)=TRUE,0,1)</f>
        <v>0</v>
      </c>
      <c r="AK15" s="677"/>
      <c r="AL15" s="638" t="s">
        <v>1403</v>
      </c>
      <c r="AM15" s="634">
        <v>2</v>
      </c>
      <c r="AN15" s="638" t="s">
        <v>1403</v>
      </c>
      <c r="AO15" s="634">
        <v>2</v>
      </c>
      <c r="AP15" s="167">
        <f>IF((AN15=AL15)=TRUE,0,1)</f>
        <v>0</v>
      </c>
      <c r="AQ15" s="677"/>
      <c r="AR15" s="638" t="s">
        <v>1403</v>
      </c>
      <c r="AS15" s="634">
        <v>2</v>
      </c>
      <c r="AT15" s="638" t="s">
        <v>1403</v>
      </c>
      <c r="AU15" s="634">
        <v>2</v>
      </c>
      <c r="AV15" s="167">
        <f>IF((AT15=AR15)=TRUE,0,1)</f>
        <v>0</v>
      </c>
      <c r="AW15" s="677"/>
      <c r="AX15" s="638" t="s">
        <v>1403</v>
      </c>
      <c r="AY15" s="634">
        <v>2</v>
      </c>
      <c r="AZ15" s="638" t="s">
        <v>1403</v>
      </c>
      <c r="BA15" s="634">
        <v>2</v>
      </c>
      <c r="BB15" s="167">
        <f>IF((AZ15=AX15)=TRUE,0,1)</f>
        <v>0</v>
      </c>
      <c r="BC15" s="677"/>
      <c r="BD15" s="638" t="s">
        <v>1403</v>
      </c>
      <c r="BE15" s="634">
        <v>2</v>
      </c>
      <c r="BF15" s="638" t="s">
        <v>1403</v>
      </c>
      <c r="BG15" s="634">
        <v>2</v>
      </c>
      <c r="BH15" s="167">
        <f>IF((BF15=BD15)=TRUE,0,1)</f>
        <v>0</v>
      </c>
      <c r="BI15" s="677"/>
      <c r="BJ15" s="638" t="s">
        <v>1403</v>
      </c>
      <c r="BK15" s="634">
        <v>2</v>
      </c>
      <c r="BL15" s="638" t="s">
        <v>1403</v>
      </c>
      <c r="BM15" s="634">
        <v>2</v>
      </c>
      <c r="BN15" s="167">
        <f>IF((BL15=BJ15)=TRUE,0,1)</f>
        <v>0</v>
      </c>
      <c r="BO15" s="677"/>
      <c r="BP15" s="638" t="s">
        <v>1403</v>
      </c>
      <c r="BQ15" s="634">
        <v>2</v>
      </c>
      <c r="BR15" s="638" t="s">
        <v>1403</v>
      </c>
      <c r="BS15" s="634">
        <v>2</v>
      </c>
      <c r="BT15" s="167">
        <f>IF((BR15=BP15)=TRUE,0,1)</f>
        <v>0</v>
      </c>
      <c r="BU15" s="677"/>
      <c r="BV15" s="638" t="s">
        <v>1403</v>
      </c>
      <c r="BW15" s="634">
        <v>2</v>
      </c>
      <c r="BX15" s="638" t="s">
        <v>1403</v>
      </c>
      <c r="BY15" s="631">
        <v>2</v>
      </c>
      <c r="BZ15" s="678">
        <f>IF((BX15=BV15)=TRUE,0,1)</f>
        <v>0</v>
      </c>
      <c r="CD15" s="615">
        <v>1</v>
      </c>
      <c r="CE15" s="615">
        <f t="shared" si="12"/>
        <v>2</v>
      </c>
      <c r="CF15" s="615"/>
      <c r="CG15" s="615">
        <f t="shared" si="13"/>
        <v>2</v>
      </c>
      <c r="CH15" s="615">
        <v>0</v>
      </c>
      <c r="CI15" s="615"/>
      <c r="CJ15" s="616"/>
      <c r="CK15" s="616"/>
      <c r="CL15" s="616"/>
      <c r="CM15" s="616"/>
      <c r="CN15" s="616"/>
      <c r="CO15" s="616"/>
      <c r="CP15" s="616"/>
      <c r="CQ15" s="616"/>
      <c r="CR15" s="616"/>
      <c r="CS15" s="616"/>
    </row>
    <row r="16" spans="1:97" ht="14.25">
      <c r="A16" s="44" t="s">
        <v>1404</v>
      </c>
      <c r="B16" s="44" t="s">
        <v>1405</v>
      </c>
      <c r="C16" s="284">
        <v>6</v>
      </c>
      <c r="D16" s="79" t="s">
        <v>158</v>
      </c>
      <c r="E16" s="490" t="s">
        <v>541</v>
      </c>
      <c r="F16" s="275"/>
      <c r="G16" s="260" t="s">
        <v>486</v>
      </c>
      <c r="H16" s="275" t="s">
        <v>287</v>
      </c>
      <c r="I16" s="635">
        <v>2</v>
      </c>
      <c r="J16" s="638" t="s">
        <v>1406</v>
      </c>
      <c r="K16" s="599">
        <f>AVERAGE(BW16,BQ16,BK16,BE16,AY16,AS16,AM16,AG16,AA16,U16)</f>
        <v>2</v>
      </c>
      <c r="L16" s="638" t="s">
        <v>1406</v>
      </c>
      <c r="M16" s="597">
        <f>AVERAGE(BY16,BS16,BM16,BG16,BA16,AU16,AO16,AI16,AC16,W16)</f>
        <v>2</v>
      </c>
      <c r="N16" s="579">
        <f t="shared" si="14"/>
        <v>0</v>
      </c>
      <c r="O16" s="598">
        <f t="shared" si="1"/>
        <v>0</v>
      </c>
      <c r="P16" s="597">
        <f t="shared" si="15"/>
        <v>0</v>
      </c>
      <c r="Q16" s="977">
        <f t="shared" si="16"/>
        <v>0</v>
      </c>
      <c r="R16" s="978">
        <f t="shared" si="17"/>
        <v>0</v>
      </c>
      <c r="S16" s="677"/>
      <c r="T16" s="638" t="s">
        <v>1406</v>
      </c>
      <c r="U16" s="631">
        <v>2</v>
      </c>
      <c r="V16" s="638" t="s">
        <v>1406</v>
      </c>
      <c r="W16" s="1053">
        <v>2</v>
      </c>
      <c r="X16" s="167">
        <f>IF((V16=T16)=TRUE,0,1)</f>
        <v>0</v>
      </c>
      <c r="Y16" s="677"/>
      <c r="Z16" s="638" t="s">
        <v>1406</v>
      </c>
      <c r="AA16" s="634">
        <v>2</v>
      </c>
      <c r="AB16" s="638" t="s">
        <v>1406</v>
      </c>
      <c r="AC16" s="997">
        <v>2</v>
      </c>
      <c r="AD16" s="167">
        <f>IF((AB16=Z16)=TRUE,0,1)</f>
        <v>0</v>
      </c>
      <c r="AE16" s="677"/>
      <c r="AF16" s="638" t="s">
        <v>1406</v>
      </c>
      <c r="AG16" s="634">
        <v>2</v>
      </c>
      <c r="AH16" s="638" t="s">
        <v>1406</v>
      </c>
      <c r="AI16" s="634">
        <v>2</v>
      </c>
      <c r="AJ16" s="167">
        <f>IF((AH16=AF16)=TRUE,0,1)</f>
        <v>0</v>
      </c>
      <c r="AK16" s="677"/>
      <c r="AL16" s="638" t="s">
        <v>1406</v>
      </c>
      <c r="AM16" s="634">
        <v>2</v>
      </c>
      <c r="AN16" s="638" t="s">
        <v>1406</v>
      </c>
      <c r="AO16" s="634">
        <v>2</v>
      </c>
      <c r="AP16" s="167">
        <f>IF((AN16=AL16)=TRUE,0,1)</f>
        <v>0</v>
      </c>
      <c r="AQ16" s="677"/>
      <c r="AR16" s="638" t="s">
        <v>1406</v>
      </c>
      <c r="AS16" s="634">
        <v>2</v>
      </c>
      <c r="AT16" s="638" t="s">
        <v>1406</v>
      </c>
      <c r="AU16" s="634">
        <v>2</v>
      </c>
      <c r="AV16" s="167">
        <f>IF((AT16=AR16)=TRUE,0,1)</f>
        <v>0</v>
      </c>
      <c r="AW16" s="677"/>
      <c r="AX16" s="638" t="s">
        <v>1406</v>
      </c>
      <c r="AY16" s="634">
        <v>2</v>
      </c>
      <c r="AZ16" s="638" t="s">
        <v>1406</v>
      </c>
      <c r="BA16" s="634">
        <v>2</v>
      </c>
      <c r="BB16" s="167">
        <f>IF((AZ16=AX16)=TRUE,0,1)</f>
        <v>0</v>
      </c>
      <c r="BC16" s="677"/>
      <c r="BD16" s="638" t="s">
        <v>1406</v>
      </c>
      <c r="BE16" s="634">
        <v>2</v>
      </c>
      <c r="BF16" s="638" t="s">
        <v>1406</v>
      </c>
      <c r="BG16" s="634">
        <v>2</v>
      </c>
      <c r="BH16" s="167">
        <f>IF((BF16=BD16)=TRUE,0,1)</f>
        <v>0</v>
      </c>
      <c r="BI16" s="677"/>
      <c r="BJ16" s="638" t="s">
        <v>1406</v>
      </c>
      <c r="BK16" s="634">
        <v>2</v>
      </c>
      <c r="BL16" s="638" t="s">
        <v>1406</v>
      </c>
      <c r="BM16" s="634">
        <v>2</v>
      </c>
      <c r="BN16" s="167">
        <f>IF((BL16=BJ16)=TRUE,0,1)</f>
        <v>0</v>
      </c>
      <c r="BO16" s="677"/>
      <c r="BP16" s="638" t="s">
        <v>1406</v>
      </c>
      <c r="BQ16" s="634">
        <v>2</v>
      </c>
      <c r="BR16" s="638" t="s">
        <v>1406</v>
      </c>
      <c r="BS16" s="634">
        <v>2</v>
      </c>
      <c r="BT16" s="167">
        <f>IF((BR16=BP16)=TRUE,0,1)</f>
        <v>0</v>
      </c>
      <c r="BU16" s="677"/>
      <c r="BV16" s="638" t="s">
        <v>1406</v>
      </c>
      <c r="BW16" s="634">
        <v>2</v>
      </c>
      <c r="BX16" s="638" t="s">
        <v>1406</v>
      </c>
      <c r="BY16" s="631">
        <v>2</v>
      </c>
      <c r="BZ16" s="678">
        <f>IF((BX16=BV16)=TRUE,0,1)</f>
        <v>0</v>
      </c>
      <c r="CD16" s="615">
        <v>1</v>
      </c>
      <c r="CE16" s="615">
        <f t="shared" si="12"/>
        <v>2</v>
      </c>
      <c r="CF16" s="615">
        <v>1</v>
      </c>
      <c r="CG16" s="615">
        <f t="shared" si="13"/>
        <v>2</v>
      </c>
      <c r="CH16" s="615">
        <v>0</v>
      </c>
      <c r="CI16" s="615"/>
      <c r="CJ16" s="616"/>
      <c r="CK16" s="616"/>
      <c r="CL16" s="616"/>
      <c r="CM16" s="616"/>
      <c r="CN16" s="616"/>
      <c r="CO16" s="616"/>
      <c r="CP16" s="616"/>
      <c r="CQ16" s="616"/>
      <c r="CR16" s="616"/>
      <c r="CS16" s="616"/>
    </row>
    <row r="17" spans="1:98" ht="19.5" customHeight="1">
      <c r="A17" s="1633" t="s">
        <v>1407</v>
      </c>
      <c r="B17" s="1633" t="s">
        <v>1408</v>
      </c>
      <c r="C17" s="284">
        <v>7</v>
      </c>
      <c r="D17" s="79" t="s">
        <v>2246</v>
      </c>
      <c r="E17" s="490" t="s">
        <v>259</v>
      </c>
      <c r="F17" s="275"/>
      <c r="G17" s="260" t="s">
        <v>490</v>
      </c>
      <c r="H17" s="275" t="s">
        <v>287</v>
      </c>
      <c r="I17" s="1628">
        <v>4</v>
      </c>
      <c r="J17" s="599">
        <f>AVERAGE(BV17,BP17,BJ17,BD17,AX17,AR17,AL17,AF17,Z17,T17)</f>
        <v>0.1</v>
      </c>
      <c r="K17" s="1636">
        <f>AVERAGE(BW17,BQ17,BK17,BE17,AY17,AS17,AM17,AG17,AA17,U17)</f>
        <v>3.8</v>
      </c>
      <c r="L17" s="601">
        <f>AVERAGE(BX17,BR17,BL17,BF17,AZ17,AT17,AN17,AH17,AB17,V17)</f>
        <v>0</v>
      </c>
      <c r="M17" s="1636">
        <f>AVERAGE(BY17,BS17,BM17,BG17,BA17,AU17,AO17,AI17,AC17,W17)</f>
        <v>4</v>
      </c>
      <c r="N17" s="579">
        <f t="shared" si="14"/>
        <v>0.20000000000000018</v>
      </c>
      <c r="O17" s="598">
        <f t="shared" si="1"/>
        <v>0</v>
      </c>
      <c r="P17" s="597">
        <f t="shared" si="15"/>
        <v>0</v>
      </c>
      <c r="Q17" s="977">
        <f t="shared" si="16"/>
        <v>0</v>
      </c>
      <c r="R17" s="978">
        <f t="shared" si="17"/>
        <v>0</v>
      </c>
      <c r="S17" s="677"/>
      <c r="T17" s="634">
        <v>0</v>
      </c>
      <c r="U17" s="1583">
        <f>IF(T18&lt;&gt;0,0,(IF(T17=0,4,(IF(T17&lt;=2,2,0)))))</f>
        <v>4</v>
      </c>
      <c r="V17" s="634">
        <v>0</v>
      </c>
      <c r="W17" s="1583">
        <f>IF(V18&lt;&gt;0,0,(IF(V17=0,4,(IF(V17&lt;=2,2,0)))))</f>
        <v>4</v>
      </c>
      <c r="X17" s="167">
        <f>IF(AND(T17=0,V17&lt;&gt;0),1,IF(AND(T17=0,V17=0),0,V17/T17-1))</f>
        <v>0</v>
      </c>
      <c r="Y17" s="677"/>
      <c r="Z17" s="634">
        <v>0</v>
      </c>
      <c r="AA17" s="1625">
        <v>4</v>
      </c>
      <c r="AB17" s="634">
        <v>0</v>
      </c>
      <c r="AC17" s="1583">
        <f>IF(AB18&lt;&gt;0,0,(IF(AB17=0,4,(IF(AB17&lt;=2,2,0)))))</f>
        <v>4</v>
      </c>
      <c r="AD17" s="167">
        <f>IF(AND(Z17=0,AB17&lt;&gt;0),1,IF(AND(Z17=0,AB17=0),0,AB17/Z17-1))</f>
        <v>0</v>
      </c>
      <c r="AE17" s="677"/>
      <c r="AF17" s="634">
        <v>1</v>
      </c>
      <c r="AG17" s="1625">
        <f>IF(AF18&lt;&gt;0,0,(IF(AF17=0,4,(IF(AF17&lt;=2,2,0)))))</f>
        <v>2</v>
      </c>
      <c r="AH17" s="634">
        <v>0</v>
      </c>
      <c r="AI17" s="1625">
        <f>IF(AH18&lt;&gt;0,0,(IF(AH17=0,4,(IF(AH17&lt;=2,2,0)))))</f>
        <v>4</v>
      </c>
      <c r="AJ17" s="167">
        <f>IF(AND(AF17=0,AH17&lt;&gt;0),1,IF(AND(AF17=0,AH17=0),0,AH17/AF17-1))</f>
        <v>-1</v>
      </c>
      <c r="AK17" s="677"/>
      <c r="AL17" s="634">
        <v>0</v>
      </c>
      <c r="AM17" s="1625">
        <v>4</v>
      </c>
      <c r="AN17" s="634">
        <v>0</v>
      </c>
      <c r="AO17" s="1625">
        <f>IF(AN18&lt;&gt;0,0,(IF(AN17=0,4,(IF(AN17&lt;=2,2,0)))))</f>
        <v>4</v>
      </c>
      <c r="AP17" s="167">
        <f>IF(AND(AL17=0,AN17&lt;&gt;0),1,IF(AND(AL17=0,AN17=0),0,AN17/AL17-1))</f>
        <v>0</v>
      </c>
      <c r="AQ17" s="677"/>
      <c r="AR17" s="634">
        <v>0</v>
      </c>
      <c r="AS17" s="1625">
        <v>4</v>
      </c>
      <c r="AT17" s="634">
        <v>0</v>
      </c>
      <c r="AU17" s="1625">
        <f>IF(AT18&lt;&gt;0,0,(IF(AT17=0,4,(IF(AT17&lt;=2,2,0)))))</f>
        <v>4</v>
      </c>
      <c r="AV17" s="167">
        <f>IF(AND(AR17=0,AT17&lt;&gt;0),1,IF(AND(AR17=0,AT17=0),0,AT17/AR17-1))</f>
        <v>0</v>
      </c>
      <c r="AW17" s="677"/>
      <c r="AX17" s="634">
        <v>0</v>
      </c>
      <c r="AY17" s="1625">
        <v>4</v>
      </c>
      <c r="AZ17" s="634">
        <v>0</v>
      </c>
      <c r="BA17" s="1625">
        <f>IF(AZ18&lt;&gt;0,0,(IF(AZ17=0,4,(IF(AZ17&lt;=2,2,0)))))</f>
        <v>4</v>
      </c>
      <c r="BB17" s="167">
        <f>IF(AND(AX17=0,AZ17&lt;&gt;0),1,IF(AND(AX17=0,AZ17=0),0,AZ17/AX17-1))</f>
        <v>0</v>
      </c>
      <c r="BC17" s="677"/>
      <c r="BD17" s="634">
        <v>0</v>
      </c>
      <c r="BE17" s="1625">
        <v>4</v>
      </c>
      <c r="BF17" s="634">
        <v>0</v>
      </c>
      <c r="BG17" s="1625">
        <f>IF(BF18&lt;&gt;0,0,(IF(BF17=0,4,(IF(BF17&lt;=2,2,0)))))</f>
        <v>4</v>
      </c>
      <c r="BH17" s="167">
        <f>IF(AND(BD17=0,BF17&lt;&gt;0),1,IF(AND(BD17=0,BF17=0),0,BF17/BD17-1))</f>
        <v>0</v>
      </c>
      <c r="BI17" s="677"/>
      <c r="BJ17" s="634">
        <v>0</v>
      </c>
      <c r="BK17" s="1625">
        <v>4</v>
      </c>
      <c r="BL17" s="634">
        <v>0</v>
      </c>
      <c r="BM17" s="1625">
        <f>IF(BL18&lt;&gt;0,0,(IF(BL17=0,4,(IF(BL17&lt;=2,2,0)))))</f>
        <v>4</v>
      </c>
      <c r="BN17" s="167">
        <f>IF(AND(BJ17=0,BL17&lt;&gt;0),1,IF(AND(BJ17=0,BL17=0),0,BL17/BJ17-1))</f>
        <v>0</v>
      </c>
      <c r="BO17" s="677"/>
      <c r="BP17" s="634">
        <v>0</v>
      </c>
      <c r="BQ17" s="1625">
        <v>4</v>
      </c>
      <c r="BR17" s="634">
        <v>0</v>
      </c>
      <c r="BS17" s="1625">
        <f>IF(BR18&lt;&gt;0,0,(IF(BR17=0,4,(IF(BR17&lt;=2,2,0)))))</f>
        <v>4</v>
      </c>
      <c r="BT17" s="167">
        <f>IF(AND(BP17=0,BR17&lt;&gt;0),1,IF(AND(BP17=0,BR17=0),0,BR17/BP17-1))</f>
        <v>0</v>
      </c>
      <c r="BU17" s="677"/>
      <c r="BV17" s="634">
        <v>0</v>
      </c>
      <c r="BW17" s="1625">
        <v>4</v>
      </c>
      <c r="BX17" s="634">
        <v>0</v>
      </c>
      <c r="BY17" s="1583">
        <f>IF(BX18&lt;&gt;0,0,(IF(BX17=0,4,(IF(BX17&lt;=2,2,0)))))</f>
        <v>4</v>
      </c>
      <c r="BZ17" s="678">
        <f>IF(AND(BV17=0,BX17&lt;&gt;0),1,IF(AND(BV17=0,BX17=0),0,BX17/BV17-1))</f>
        <v>0</v>
      </c>
      <c r="CD17" s="615"/>
      <c r="CE17" s="615">
        <f t="shared" si="12"/>
        <v>4</v>
      </c>
      <c r="CF17" s="615">
        <v>1</v>
      </c>
      <c r="CG17" s="615">
        <f t="shared" si="13"/>
        <v>4</v>
      </c>
      <c r="CH17" s="615">
        <v>0</v>
      </c>
      <c r="CI17" s="615"/>
      <c r="CJ17" s="616"/>
      <c r="CK17" s="616"/>
      <c r="CL17" s="616"/>
      <c r="CM17" s="616"/>
      <c r="CN17" s="616"/>
      <c r="CO17" s="616"/>
      <c r="CP17" s="616"/>
      <c r="CQ17" s="616"/>
      <c r="CR17" s="616"/>
      <c r="CS17" s="616"/>
    </row>
    <row r="18" spans="1:98" ht="27" customHeight="1">
      <c r="A18" s="1626"/>
      <c r="B18" s="1626"/>
      <c r="C18" s="284">
        <v>8</v>
      </c>
      <c r="D18" s="79" t="s">
        <v>1409</v>
      </c>
      <c r="E18" s="490" t="s">
        <v>259</v>
      </c>
      <c r="F18" s="275"/>
      <c r="G18" s="260" t="s">
        <v>490</v>
      </c>
      <c r="H18" s="275" t="s">
        <v>287</v>
      </c>
      <c r="I18" s="1628"/>
      <c r="J18" s="599">
        <f>AVERAGE(BV18,BP18,BJ18,BD18,AX18,AR18,AL18,AF18,Z18,T18)</f>
        <v>0</v>
      </c>
      <c r="K18" s="1645"/>
      <c r="L18" s="601">
        <f>AVERAGE(BX18,BR18,BL18,BF18,AZ18,AT18,AN18,AH18,AB18,V18)</f>
        <v>0</v>
      </c>
      <c r="M18" s="1645"/>
      <c r="N18" s="579">
        <f t="shared" si="14"/>
        <v>0</v>
      </c>
      <c r="O18" s="598">
        <f t="shared" si="1"/>
        <v>0</v>
      </c>
      <c r="P18" s="597">
        <f t="shared" si="15"/>
        <v>0</v>
      </c>
      <c r="Q18" s="977">
        <f t="shared" si="16"/>
        <v>0</v>
      </c>
      <c r="R18" s="978">
        <f t="shared" si="17"/>
        <v>0</v>
      </c>
      <c r="S18" s="677"/>
      <c r="T18" s="634">
        <v>0</v>
      </c>
      <c r="U18" s="1583"/>
      <c r="V18" s="634">
        <v>0</v>
      </c>
      <c r="W18" s="1583"/>
      <c r="X18" s="167">
        <f>IF(AND(T18=0,V18&lt;&gt;0),1,IF(AND(T18=0,V18=0),0,V18/T18-1))</f>
        <v>0</v>
      </c>
      <c r="Y18" s="677"/>
      <c r="Z18" s="634">
        <v>0</v>
      </c>
      <c r="AA18" s="1625"/>
      <c r="AB18" s="634">
        <v>0</v>
      </c>
      <c r="AC18" s="1583"/>
      <c r="AD18" s="167">
        <f>IF(AND(Z18=0,AB18&lt;&gt;0),1,IF(AND(Z18=0,AB18=0),0,AB18/Z18-1))</f>
        <v>0</v>
      </c>
      <c r="AE18" s="677"/>
      <c r="AF18" s="634">
        <v>0</v>
      </c>
      <c r="AG18" s="1625"/>
      <c r="AH18" s="634">
        <v>0</v>
      </c>
      <c r="AI18" s="1625"/>
      <c r="AJ18" s="167">
        <f>IF(AND(AF18=0,AH18&lt;&gt;0),1,IF(AND(AF18=0,AH18=0),0,AH18/AF18-1))</f>
        <v>0</v>
      </c>
      <c r="AK18" s="677"/>
      <c r="AL18" s="634">
        <v>0</v>
      </c>
      <c r="AM18" s="1625"/>
      <c r="AN18" s="634">
        <v>0</v>
      </c>
      <c r="AO18" s="1625"/>
      <c r="AP18" s="167">
        <f>IF(AND(AL18=0,AN18&lt;&gt;0),1,IF(AND(AL18=0,AN18=0),0,AN18/AL18-1))</f>
        <v>0</v>
      </c>
      <c r="AQ18" s="677"/>
      <c r="AR18" s="634">
        <v>0</v>
      </c>
      <c r="AS18" s="1625"/>
      <c r="AT18" s="634">
        <v>0</v>
      </c>
      <c r="AU18" s="1625"/>
      <c r="AV18" s="167">
        <f>IF(AND(AR18=0,AT18&lt;&gt;0),1,IF(AND(AR18=0,AT18=0),0,AT18/AR18-1))</f>
        <v>0</v>
      </c>
      <c r="AW18" s="677"/>
      <c r="AX18" s="634">
        <v>0</v>
      </c>
      <c r="AY18" s="1625"/>
      <c r="AZ18" s="634">
        <v>0</v>
      </c>
      <c r="BA18" s="1625"/>
      <c r="BB18" s="167">
        <f>IF(AND(AX18=0,AZ18&lt;&gt;0),1,IF(AND(AX18=0,AZ18=0),0,AZ18/AX18-1))</f>
        <v>0</v>
      </c>
      <c r="BC18" s="677"/>
      <c r="BD18" s="634">
        <v>0</v>
      </c>
      <c r="BE18" s="1625"/>
      <c r="BF18" s="634">
        <v>0</v>
      </c>
      <c r="BG18" s="1625"/>
      <c r="BH18" s="167">
        <f>IF(AND(BD18=0,BF18&lt;&gt;0),1,IF(AND(BD18=0,BF18=0),0,BF18/BD18-1))</f>
        <v>0</v>
      </c>
      <c r="BI18" s="677"/>
      <c r="BJ18" s="634">
        <v>0</v>
      </c>
      <c r="BK18" s="1625"/>
      <c r="BL18" s="634">
        <v>0</v>
      </c>
      <c r="BM18" s="1625"/>
      <c r="BN18" s="167">
        <f>IF(AND(BJ18=0,BL18&lt;&gt;0),1,IF(AND(BJ18=0,BL18=0),0,BL18/BJ18-1))</f>
        <v>0</v>
      </c>
      <c r="BO18" s="677"/>
      <c r="BP18" s="634">
        <v>0</v>
      </c>
      <c r="BQ18" s="1625"/>
      <c r="BR18" s="634">
        <v>0</v>
      </c>
      <c r="BS18" s="1625"/>
      <c r="BT18" s="167">
        <f>IF(AND(BP18=0,BR18&lt;&gt;0),1,IF(AND(BP18=0,BR18=0),0,BR18/BP18-1))</f>
        <v>0</v>
      </c>
      <c r="BU18" s="677"/>
      <c r="BV18" s="634">
        <v>0</v>
      </c>
      <c r="BW18" s="1625"/>
      <c r="BX18" s="634">
        <v>0</v>
      </c>
      <c r="BY18" s="1583"/>
      <c r="BZ18" s="678">
        <f>IF(AND(BV18=0,BX18&lt;&gt;0),1,IF(AND(BV18=0,BX18=0),0,BX18/BV18-1))</f>
        <v>0</v>
      </c>
      <c r="CD18" s="615"/>
      <c r="CE18" s="615">
        <f t="shared" si="12"/>
        <v>0</v>
      </c>
      <c r="CF18" s="615">
        <v>1</v>
      </c>
      <c r="CG18" s="615">
        <f t="shared" si="13"/>
        <v>0</v>
      </c>
      <c r="CH18" s="615">
        <v>0</v>
      </c>
      <c r="CI18" s="615"/>
      <c r="CJ18" s="616"/>
      <c r="CK18" s="616"/>
      <c r="CL18" s="616"/>
      <c r="CM18" s="616"/>
      <c r="CN18" s="616"/>
      <c r="CO18" s="616"/>
      <c r="CP18" s="616"/>
      <c r="CQ18" s="616"/>
      <c r="CR18" s="616"/>
      <c r="CS18" s="616"/>
    </row>
    <row r="19" spans="1:98" ht="16.5" customHeight="1">
      <c r="A19" s="1612"/>
      <c r="B19" s="1612"/>
      <c r="C19" s="284">
        <v>9</v>
      </c>
      <c r="D19" s="79" t="s">
        <v>1410</v>
      </c>
      <c r="E19" s="490" t="s">
        <v>259</v>
      </c>
      <c r="F19" s="275"/>
      <c r="G19" s="260" t="s">
        <v>490</v>
      </c>
      <c r="H19" s="275" t="s">
        <v>287</v>
      </c>
      <c r="I19" s="1628"/>
      <c r="J19" s="626" t="s">
        <v>1411</v>
      </c>
      <c r="K19" s="1637"/>
      <c r="L19" s="602" t="s">
        <v>1411</v>
      </c>
      <c r="M19" s="1637"/>
      <c r="N19" s="579">
        <f t="shared" si="14"/>
        <v>0</v>
      </c>
      <c r="O19" s="598">
        <f t="shared" si="1"/>
        <v>0</v>
      </c>
      <c r="P19" s="597">
        <f t="shared" si="15"/>
        <v>0</v>
      </c>
      <c r="Q19" s="977">
        <f t="shared" si="16"/>
        <v>0</v>
      </c>
      <c r="R19" s="978">
        <f t="shared" si="17"/>
        <v>0</v>
      </c>
      <c r="S19" s="677"/>
      <c r="T19" s="638" t="s">
        <v>1411</v>
      </c>
      <c r="U19" s="1583"/>
      <c r="V19" s="638" t="s">
        <v>1411</v>
      </c>
      <c r="W19" s="1583"/>
      <c r="X19" s="167">
        <f>IF((V19=T19)=TRUE,0,1)</f>
        <v>0</v>
      </c>
      <c r="Y19" s="677"/>
      <c r="Z19" s="638" t="s">
        <v>1411</v>
      </c>
      <c r="AA19" s="1625"/>
      <c r="AB19" s="638" t="s">
        <v>1411</v>
      </c>
      <c r="AC19" s="1583"/>
      <c r="AD19" s="167">
        <f>IF((AB19=Z19)=TRUE,0,1)</f>
        <v>0</v>
      </c>
      <c r="AE19" s="677"/>
      <c r="AF19" s="638" t="s">
        <v>1411</v>
      </c>
      <c r="AG19" s="1625"/>
      <c r="AH19" s="638" t="s">
        <v>1411</v>
      </c>
      <c r="AI19" s="1625"/>
      <c r="AJ19" s="167">
        <f>IF((AH19=AF19)=TRUE,0,1)</f>
        <v>0</v>
      </c>
      <c r="AK19" s="677"/>
      <c r="AL19" s="638" t="s">
        <v>1411</v>
      </c>
      <c r="AM19" s="1625"/>
      <c r="AN19" s="638" t="s">
        <v>1411</v>
      </c>
      <c r="AO19" s="1625"/>
      <c r="AP19" s="167">
        <f>IF((AN19=AL19)=TRUE,0,1)</f>
        <v>0</v>
      </c>
      <c r="AQ19" s="677"/>
      <c r="AR19" s="638" t="s">
        <v>1783</v>
      </c>
      <c r="AS19" s="1625"/>
      <c r="AT19" s="638" t="s">
        <v>1783</v>
      </c>
      <c r="AU19" s="1625"/>
      <c r="AV19" s="167">
        <f>IF((AT19=AR19)=TRUE,0,1)</f>
        <v>0</v>
      </c>
      <c r="AW19" s="677"/>
      <c r="AX19" s="638" t="s">
        <v>1411</v>
      </c>
      <c r="AY19" s="1625"/>
      <c r="AZ19" s="638" t="s">
        <v>1411</v>
      </c>
      <c r="BA19" s="1625"/>
      <c r="BB19" s="167">
        <f>IF((AZ19=AX19)=TRUE,0,1)</f>
        <v>0</v>
      </c>
      <c r="BC19" s="677"/>
      <c r="BD19" s="638" t="s">
        <v>1411</v>
      </c>
      <c r="BE19" s="1625"/>
      <c r="BF19" s="638" t="s">
        <v>1411</v>
      </c>
      <c r="BG19" s="1625"/>
      <c r="BH19" s="167">
        <f>IF((BF19=BD19)=TRUE,0,1)</f>
        <v>0</v>
      </c>
      <c r="BI19" s="677"/>
      <c r="BJ19" s="638" t="s">
        <v>1411</v>
      </c>
      <c r="BK19" s="1625"/>
      <c r="BL19" s="638" t="s">
        <v>1411</v>
      </c>
      <c r="BM19" s="1625"/>
      <c r="BN19" s="167">
        <f>IF((BL19=BJ19)=TRUE,0,1)</f>
        <v>0</v>
      </c>
      <c r="BO19" s="677"/>
      <c r="BP19" s="638" t="s">
        <v>1411</v>
      </c>
      <c r="BQ19" s="1625"/>
      <c r="BR19" s="638" t="s">
        <v>1411</v>
      </c>
      <c r="BS19" s="1625"/>
      <c r="BT19" s="167">
        <f>IF((BR19=BP19)=TRUE,0,1)</f>
        <v>0</v>
      </c>
      <c r="BU19" s="677"/>
      <c r="BV19" s="638" t="s">
        <v>1411</v>
      </c>
      <c r="BW19" s="1625"/>
      <c r="BX19" s="638" t="s">
        <v>1411</v>
      </c>
      <c r="BY19" s="1583"/>
      <c r="BZ19" s="678">
        <f>IF((BX19=BV19)=TRUE,0,1)</f>
        <v>0</v>
      </c>
      <c r="CD19" s="615"/>
      <c r="CE19" s="615">
        <f t="shared" si="12"/>
        <v>0</v>
      </c>
      <c r="CF19" s="615">
        <v>1</v>
      </c>
      <c r="CG19" s="615">
        <f t="shared" si="13"/>
        <v>0</v>
      </c>
      <c r="CH19" s="615">
        <v>0</v>
      </c>
      <c r="CI19" s="615"/>
      <c r="CJ19" s="616"/>
      <c r="CK19" s="616"/>
      <c r="CL19" s="616"/>
      <c r="CM19" s="616"/>
      <c r="CN19" s="616"/>
      <c r="CO19" s="616"/>
      <c r="CP19" s="616"/>
      <c r="CQ19" s="616"/>
      <c r="CR19" s="616"/>
      <c r="CS19" s="616"/>
    </row>
    <row r="20" spans="1:98" ht="19.5" customHeight="1">
      <c r="A20" s="1633" t="s">
        <v>1413</v>
      </c>
      <c r="B20" s="1633" t="s">
        <v>1414</v>
      </c>
      <c r="C20" s="284">
        <v>10</v>
      </c>
      <c r="D20" s="79" t="s">
        <v>1412</v>
      </c>
      <c r="E20" s="490" t="s">
        <v>259</v>
      </c>
      <c r="F20" s="275"/>
      <c r="G20" s="260" t="s">
        <v>490</v>
      </c>
      <c r="H20" s="275" t="s">
        <v>287</v>
      </c>
      <c r="I20" s="1628">
        <v>6</v>
      </c>
      <c r="J20" s="599">
        <f>AVERAGE(BV20,BP20,BJ20,BD20,AX20,AR20,AL20,AF20,Z20,T20)</f>
        <v>0</v>
      </c>
      <c r="K20" s="1636">
        <f>AVERAGE(BW20,BQ20,BK20,BE20,AY20,AS20,AM20,AG20,AA20,U20)</f>
        <v>6</v>
      </c>
      <c r="L20" s="601">
        <f>AVERAGE(BX20,BR20,BL20,BF20,AZ20,AT20,AN20,AH20,AB20,V20)</f>
        <v>0</v>
      </c>
      <c r="M20" s="1636">
        <f>AVERAGE(BY20,BS20,BM20,BG20,BA20,AU20,AO20,AI20,AC20,W20)</f>
        <v>6</v>
      </c>
      <c r="N20" s="579">
        <f t="shared" si="14"/>
        <v>0</v>
      </c>
      <c r="O20" s="598">
        <f t="shared" si="1"/>
        <v>0</v>
      </c>
      <c r="P20" s="597">
        <f t="shared" si="15"/>
        <v>0</v>
      </c>
      <c r="Q20" s="977">
        <f t="shared" si="16"/>
        <v>0</v>
      </c>
      <c r="R20" s="978">
        <f t="shared" si="17"/>
        <v>0</v>
      </c>
      <c r="S20" s="677"/>
      <c r="T20" s="634">
        <v>0</v>
      </c>
      <c r="U20" s="1583">
        <f>6-T20*3-T21*0.5</f>
        <v>6</v>
      </c>
      <c r="V20" s="634">
        <v>0</v>
      </c>
      <c r="W20" s="1583">
        <f>6-V20*3-V21*0.5</f>
        <v>6</v>
      </c>
      <c r="X20" s="167">
        <f>IF(AND(T20=0,V20&lt;&gt;0),1,IF(AND(T20=0,V20=0),0,V20/T20-1))</f>
        <v>0</v>
      </c>
      <c r="Y20" s="677"/>
      <c r="Z20" s="634">
        <v>0</v>
      </c>
      <c r="AA20" s="1625">
        <f>6-Z20*3-Z21*0.5</f>
        <v>6</v>
      </c>
      <c r="AB20" s="634">
        <v>0</v>
      </c>
      <c r="AC20" s="1583">
        <f>6-AB20*3-AB21*0.5</f>
        <v>6</v>
      </c>
      <c r="AD20" s="167">
        <f>IF(AND(Z20=0,AB20&lt;&gt;0),1,IF(AND(Z20=0,AB20=0),0,AB20/Z20-1))</f>
        <v>0</v>
      </c>
      <c r="AE20" s="677"/>
      <c r="AF20" s="634">
        <v>0</v>
      </c>
      <c r="AG20" s="1625">
        <f>6-AF20*3-AF21*0.5</f>
        <v>6</v>
      </c>
      <c r="AH20" s="634">
        <v>0</v>
      </c>
      <c r="AI20" s="1625">
        <f>6-AH20*3-AH21*0.5</f>
        <v>6</v>
      </c>
      <c r="AJ20" s="167">
        <f>IF(AND(AF20=0,AH20&lt;&gt;0),1,IF(AND(AF20=0,AH20=0),0,AH20/AF20-1))</f>
        <v>0</v>
      </c>
      <c r="AK20" s="677"/>
      <c r="AL20" s="634">
        <v>0</v>
      </c>
      <c r="AM20" s="1625">
        <f>6-AL20*3-AL21*0.5</f>
        <v>6</v>
      </c>
      <c r="AN20" s="634">
        <v>0</v>
      </c>
      <c r="AO20" s="1625">
        <f>6-AN20*3-AN21*0.5</f>
        <v>6</v>
      </c>
      <c r="AP20" s="167">
        <f>IF(AND(AL20=0,AN20&lt;&gt;0),1,IF(AND(AL20=0,AN20=0),0,AN20/AL20-1))</f>
        <v>0</v>
      </c>
      <c r="AQ20" s="677"/>
      <c r="AR20" s="634">
        <v>0</v>
      </c>
      <c r="AS20" s="1625">
        <f>6-AR20*3-AR21*0.5</f>
        <v>6</v>
      </c>
      <c r="AT20" s="634">
        <v>0</v>
      </c>
      <c r="AU20" s="1625">
        <f>6-AT20*3-AT21*0.5</f>
        <v>6</v>
      </c>
      <c r="AV20" s="167">
        <f>IF(AND(AR20=0,AT20&lt;&gt;0),1,IF(AND(AR20=0,AT20=0),0,AT20/AR20-1))</f>
        <v>0</v>
      </c>
      <c r="AW20" s="677"/>
      <c r="AX20" s="634">
        <v>0</v>
      </c>
      <c r="AY20" s="1625">
        <f>6-AX20*3-AX21*0.5</f>
        <v>6</v>
      </c>
      <c r="AZ20" s="634">
        <v>0</v>
      </c>
      <c r="BA20" s="1625">
        <f>6-AZ20*3-AZ21*0.5</f>
        <v>6</v>
      </c>
      <c r="BB20" s="167">
        <f>IF(AND(AX20=0,AZ20&lt;&gt;0),1,IF(AND(AX20=0,AZ20=0),0,AZ20/AX20-1))</f>
        <v>0</v>
      </c>
      <c r="BC20" s="677"/>
      <c r="BD20" s="634">
        <v>0</v>
      </c>
      <c r="BE20" s="1625">
        <f>6-BD20*3-BD21*0.5</f>
        <v>6</v>
      </c>
      <c r="BF20" s="634">
        <v>0</v>
      </c>
      <c r="BG20" s="1625">
        <f>6-BF20*3-BF21*0.5</f>
        <v>6</v>
      </c>
      <c r="BH20" s="167">
        <f>IF(AND(BD20=0,BF20&lt;&gt;0),1,IF(AND(BD20=0,BF20=0),0,BF20/BD20-1))</f>
        <v>0</v>
      </c>
      <c r="BI20" s="677"/>
      <c r="BJ20" s="634">
        <v>0</v>
      </c>
      <c r="BK20" s="1625">
        <f>6-BJ20*3-BJ21*0.5</f>
        <v>6</v>
      </c>
      <c r="BL20" s="634">
        <v>0</v>
      </c>
      <c r="BM20" s="1625">
        <f>6-BL20*3-BL21*0.5</f>
        <v>6</v>
      </c>
      <c r="BN20" s="167">
        <f>IF(AND(BJ20=0,BL20&lt;&gt;0),1,IF(AND(BJ20=0,BL20=0),0,BL20/BJ20-1))</f>
        <v>0</v>
      </c>
      <c r="BO20" s="677"/>
      <c r="BP20" s="634">
        <v>0</v>
      </c>
      <c r="BQ20" s="1625">
        <f>6-BP20*3-BP21*0.5</f>
        <v>6</v>
      </c>
      <c r="BR20" s="634">
        <v>0</v>
      </c>
      <c r="BS20" s="1625">
        <f>6-BR20*3-BR21*0.5</f>
        <v>6</v>
      </c>
      <c r="BT20" s="167">
        <f>IF(AND(BP20=0,BR20&lt;&gt;0),1,IF(AND(BP20=0,BR20=0),0,BR20/BP20-1))</f>
        <v>0</v>
      </c>
      <c r="BU20" s="677"/>
      <c r="BV20" s="634">
        <v>0</v>
      </c>
      <c r="BW20" s="1625">
        <f>6-BV20*3-BV21*0.5</f>
        <v>6</v>
      </c>
      <c r="BX20" s="634">
        <v>0</v>
      </c>
      <c r="BY20" s="1583">
        <f>6-BX20*3-BX21*0.5</f>
        <v>6</v>
      </c>
      <c r="BZ20" s="678">
        <f>IF(AND(BV20=0,BX20&lt;&gt;0),1,IF(AND(BV20=0,BX20=0),0,BX20/BV20-1))</f>
        <v>0</v>
      </c>
      <c r="CD20" s="615"/>
      <c r="CE20" s="615">
        <f t="shared" si="12"/>
        <v>6</v>
      </c>
      <c r="CF20" s="615">
        <v>1</v>
      </c>
      <c r="CG20" s="615">
        <f t="shared" si="13"/>
        <v>6</v>
      </c>
      <c r="CH20" s="615">
        <v>0</v>
      </c>
      <c r="CI20" s="615"/>
      <c r="CJ20" s="616"/>
      <c r="CK20" s="616"/>
      <c r="CL20" s="616"/>
      <c r="CM20" s="616"/>
      <c r="CN20" s="616"/>
      <c r="CO20" s="616"/>
      <c r="CP20" s="616"/>
      <c r="CQ20" s="616"/>
      <c r="CR20" s="616"/>
      <c r="CS20" s="616"/>
    </row>
    <row r="21" spans="1:98" ht="15" customHeight="1">
      <c r="A21" s="1635"/>
      <c r="B21" s="1635"/>
      <c r="C21" s="284">
        <v>11</v>
      </c>
      <c r="D21" s="79" t="s">
        <v>1415</v>
      </c>
      <c r="E21" s="490" t="s">
        <v>259</v>
      </c>
      <c r="F21" s="275"/>
      <c r="G21" s="260" t="s">
        <v>490</v>
      </c>
      <c r="H21" s="275" t="s">
        <v>287</v>
      </c>
      <c r="I21" s="1628"/>
      <c r="J21" s="599">
        <f>AVERAGE(BV21,BP21,BJ21,BD21,AX21,AR21,AL21,AF21,Z21,T21)</f>
        <v>0</v>
      </c>
      <c r="K21" s="1637"/>
      <c r="L21" s="599">
        <f>AVERAGE(BX21,BR21,BL21,BF21,AZ21,AT21,AN21,AH21,AB21,V21)</f>
        <v>0</v>
      </c>
      <c r="M21" s="1637"/>
      <c r="N21" s="579">
        <f t="shared" si="14"/>
        <v>0</v>
      </c>
      <c r="O21" s="598">
        <f t="shared" si="1"/>
        <v>0</v>
      </c>
      <c r="P21" s="597">
        <f t="shared" si="15"/>
        <v>0</v>
      </c>
      <c r="Q21" s="977">
        <f t="shared" si="16"/>
        <v>0</v>
      </c>
      <c r="R21" s="978">
        <f t="shared" si="17"/>
        <v>0</v>
      </c>
      <c r="S21" s="677"/>
      <c r="T21" s="634">
        <v>0</v>
      </c>
      <c r="U21" s="1583"/>
      <c r="V21" s="634">
        <v>0</v>
      </c>
      <c r="W21" s="1583"/>
      <c r="X21" s="167">
        <f>IF(AND(T21=0,V21&lt;&gt;0),1,IF(AND(T21=0,V21=0),0,V21/T21-1))</f>
        <v>0</v>
      </c>
      <c r="Y21" s="677"/>
      <c r="Z21" s="634">
        <v>0</v>
      </c>
      <c r="AA21" s="1625"/>
      <c r="AB21" s="634">
        <v>0</v>
      </c>
      <c r="AC21" s="1583"/>
      <c r="AD21" s="167">
        <f>IF(AND(Z21=0,AB21&lt;&gt;0),1,IF(AND(Z21=0,AB21=0),0,AB21/Z21-1))</f>
        <v>0</v>
      </c>
      <c r="AE21" s="677"/>
      <c r="AF21" s="634">
        <v>0</v>
      </c>
      <c r="AG21" s="1625"/>
      <c r="AH21" s="634">
        <v>0</v>
      </c>
      <c r="AI21" s="1625"/>
      <c r="AJ21" s="167">
        <f>IF(AND(AF21=0,AH21&lt;&gt;0),1,IF(AND(AF21=0,AH21=0),0,AH21/AF21-1))</f>
        <v>0</v>
      </c>
      <c r="AK21" s="677"/>
      <c r="AL21" s="634">
        <v>0</v>
      </c>
      <c r="AM21" s="1625"/>
      <c r="AN21" s="634">
        <v>0</v>
      </c>
      <c r="AO21" s="1625"/>
      <c r="AP21" s="167">
        <f>IF(AND(AL21=0,AN21&lt;&gt;0),1,IF(AND(AL21=0,AN21=0),0,AN21/AL21-1))</f>
        <v>0</v>
      </c>
      <c r="AQ21" s="677"/>
      <c r="AR21" s="634">
        <v>0</v>
      </c>
      <c r="AS21" s="1625"/>
      <c r="AT21" s="634">
        <v>0</v>
      </c>
      <c r="AU21" s="1625"/>
      <c r="AV21" s="167">
        <f>IF(AND(AR21=0,AT21&lt;&gt;0),1,IF(AND(AR21=0,AT21=0),0,AT21/AR21-1))</f>
        <v>0</v>
      </c>
      <c r="AW21" s="677"/>
      <c r="AX21" s="634">
        <v>0</v>
      </c>
      <c r="AY21" s="1625"/>
      <c r="AZ21" s="634">
        <v>0</v>
      </c>
      <c r="BA21" s="1625"/>
      <c r="BB21" s="167">
        <f>IF(AND(AX21=0,AZ21&lt;&gt;0),1,IF(AND(AX21=0,AZ21=0),0,AZ21/AX21-1))</f>
        <v>0</v>
      </c>
      <c r="BC21" s="677"/>
      <c r="BD21" s="634">
        <v>0</v>
      </c>
      <c r="BE21" s="1625"/>
      <c r="BF21" s="634">
        <v>0</v>
      </c>
      <c r="BG21" s="1625"/>
      <c r="BH21" s="167">
        <f>IF(AND(BD21=0,BF21&lt;&gt;0),1,IF(AND(BD21=0,BF21=0),0,BF21/BD21-1))</f>
        <v>0</v>
      </c>
      <c r="BI21" s="677"/>
      <c r="BJ21" s="634">
        <v>0</v>
      </c>
      <c r="BK21" s="1625"/>
      <c r="BL21" s="634">
        <v>0</v>
      </c>
      <c r="BM21" s="1625"/>
      <c r="BN21" s="167">
        <f>IF(AND(BJ21=0,BL21&lt;&gt;0),1,IF(AND(BJ21=0,BL21=0),0,BL21/BJ21-1))</f>
        <v>0</v>
      </c>
      <c r="BO21" s="677"/>
      <c r="BP21" s="634">
        <v>0</v>
      </c>
      <c r="BQ21" s="1625"/>
      <c r="BR21" s="634">
        <v>0</v>
      </c>
      <c r="BS21" s="1625"/>
      <c r="BT21" s="167">
        <f>IF(AND(BP21=0,BR21&lt;&gt;0),1,IF(AND(BP21=0,BR21=0),0,BR21/BP21-1))</f>
        <v>0</v>
      </c>
      <c r="BU21" s="677"/>
      <c r="BV21" s="634">
        <v>0</v>
      </c>
      <c r="BW21" s="1625"/>
      <c r="BX21" s="634">
        <v>0</v>
      </c>
      <c r="BY21" s="1583"/>
      <c r="BZ21" s="678">
        <f>IF(AND(BV21=0,BX21&lt;&gt;0),1,IF(AND(BV21=0,BX21=0),0,BX21/BV21-1))</f>
        <v>0</v>
      </c>
      <c r="CD21" s="615"/>
      <c r="CE21" s="615">
        <f t="shared" si="12"/>
        <v>0</v>
      </c>
      <c r="CF21" s="615">
        <v>1</v>
      </c>
      <c r="CG21" s="615">
        <f t="shared" si="13"/>
        <v>0</v>
      </c>
      <c r="CH21" s="615">
        <v>0</v>
      </c>
      <c r="CI21" s="615"/>
      <c r="CJ21" s="616"/>
      <c r="CK21" s="616"/>
      <c r="CL21" s="616"/>
      <c r="CM21" s="616"/>
      <c r="CN21" s="616"/>
      <c r="CO21" s="616"/>
      <c r="CP21" s="616"/>
      <c r="CQ21" s="616"/>
      <c r="CR21" s="616"/>
      <c r="CS21" s="616"/>
    </row>
    <row r="22" spans="1:98" ht="24.75" customHeight="1">
      <c r="A22" s="62" t="s">
        <v>1416</v>
      </c>
      <c r="B22" s="53" t="s">
        <v>1417</v>
      </c>
      <c r="C22" s="284">
        <v>12</v>
      </c>
      <c r="D22" s="1026" t="s">
        <v>2076</v>
      </c>
      <c r="E22" s="490" t="s">
        <v>259</v>
      </c>
      <c r="F22" s="275"/>
      <c r="G22" s="260" t="s">
        <v>486</v>
      </c>
      <c r="H22" s="275" t="s">
        <v>287</v>
      </c>
      <c r="I22" s="635">
        <v>1</v>
      </c>
      <c r="J22" s="638" t="s">
        <v>1418</v>
      </c>
      <c r="K22" s="599">
        <f>AVERAGE(BW22,BQ22,BK22,BE22,AY22,AS22,AM22,AG22,AA22,U22)</f>
        <v>0.9</v>
      </c>
      <c r="L22" s="601" t="s">
        <v>1418</v>
      </c>
      <c r="M22" s="597">
        <f>AVERAGE(BY22,BS22,BM22,BG22,BA22,AU22,AO22,AI22,AC22,W22)</f>
        <v>0.9</v>
      </c>
      <c r="N22" s="617">
        <f t="shared" si="14"/>
        <v>0</v>
      </c>
      <c r="O22" s="598">
        <f t="shared" si="1"/>
        <v>9.9999999999999978E-2</v>
      </c>
      <c r="P22" s="597">
        <f t="shared" si="15"/>
        <v>3.9999999999999994E-2</v>
      </c>
      <c r="Q22" s="977">
        <f t="shared" si="16"/>
        <v>4.4444444444444436E-3</v>
      </c>
      <c r="R22" s="978">
        <f t="shared" si="17"/>
        <v>2.2222222222222218E-3</v>
      </c>
      <c r="S22" s="677"/>
      <c r="T22" s="638" t="s">
        <v>1418</v>
      </c>
      <c r="U22" s="631">
        <f>IF(LEFT(T22,1)="1",1,0)</f>
        <v>1</v>
      </c>
      <c r="V22" s="638" t="s">
        <v>1418</v>
      </c>
      <c r="W22" s="1053">
        <f>IF(LEFT(V22)="1",1,0)</f>
        <v>1</v>
      </c>
      <c r="X22" s="167">
        <f>IF((V22=T22)=TRUE,0,1)</f>
        <v>0</v>
      </c>
      <c r="Y22" s="677"/>
      <c r="Z22" s="638" t="s">
        <v>1418</v>
      </c>
      <c r="AA22" s="634">
        <f>IF(LEFT(Z22,1)="1",1,0)</f>
        <v>1</v>
      </c>
      <c r="AB22" s="638" t="s">
        <v>1418</v>
      </c>
      <c r="AC22" s="997">
        <f>IF(LEFT(AB22)="1",1,0)</f>
        <v>1</v>
      </c>
      <c r="AD22" s="167">
        <f>IF((AB22=Z22)=TRUE,0,1)</f>
        <v>0</v>
      </c>
      <c r="AE22" s="677"/>
      <c r="AF22" s="638" t="s">
        <v>1418</v>
      </c>
      <c r="AG22" s="634">
        <f>IF(LEFT(AF22,1)="1",1,0)</f>
        <v>1</v>
      </c>
      <c r="AH22" s="638" t="s">
        <v>1418</v>
      </c>
      <c r="AI22" s="634">
        <f>IF(LEFT(AH22)="1",1,0)</f>
        <v>1</v>
      </c>
      <c r="AJ22" s="167">
        <f>IF((AH22=AF22)=TRUE,0,1)</f>
        <v>0</v>
      </c>
      <c r="AK22" s="677"/>
      <c r="AL22" s="638" t="s">
        <v>1418</v>
      </c>
      <c r="AM22" s="634">
        <f>IF(LEFT(AL22,1)="1",1,0)</f>
        <v>1</v>
      </c>
      <c r="AN22" s="638" t="s">
        <v>1418</v>
      </c>
      <c r="AO22" s="634">
        <f>IF(LEFT(AN22)="1",1,0)</f>
        <v>1</v>
      </c>
      <c r="AP22" s="167">
        <f>IF((AN22=AL22)=TRUE,0,1)</f>
        <v>0</v>
      </c>
      <c r="AQ22" s="677"/>
      <c r="AR22" s="638" t="s">
        <v>1419</v>
      </c>
      <c r="AS22" s="634">
        <f>IF(LEFT(AR22,1)="1",1,0)</f>
        <v>0</v>
      </c>
      <c r="AT22" s="638" t="s">
        <v>1419</v>
      </c>
      <c r="AU22" s="634">
        <f>IF(LEFT(AT22)="1",1,0)</f>
        <v>0</v>
      </c>
      <c r="AV22" s="167">
        <f>IF((AT22=AR22)=TRUE,0,1)</f>
        <v>0</v>
      </c>
      <c r="AW22" s="677"/>
      <c r="AX22" s="638" t="s">
        <v>1418</v>
      </c>
      <c r="AY22" s="634">
        <f>IF(LEFT(AX22,1)="1",1,0)</f>
        <v>1</v>
      </c>
      <c r="AZ22" s="638" t="s">
        <v>1418</v>
      </c>
      <c r="BA22" s="634">
        <f>IF(LEFT(AZ22)="1",1,0)</f>
        <v>1</v>
      </c>
      <c r="BB22" s="167">
        <f>IF((AZ22=AX22)=TRUE,0,1)</f>
        <v>0</v>
      </c>
      <c r="BC22" s="677"/>
      <c r="BD22" s="638" t="s">
        <v>1418</v>
      </c>
      <c r="BE22" s="634">
        <f>IF(LEFT(BD22,1)="1",1,0)</f>
        <v>1</v>
      </c>
      <c r="BF22" s="638" t="s">
        <v>1418</v>
      </c>
      <c r="BG22" s="634">
        <f>IF(LEFT(BF22)="1",1,0)</f>
        <v>1</v>
      </c>
      <c r="BH22" s="167">
        <f>IF((BF22=BD22)=TRUE,0,1)</f>
        <v>0</v>
      </c>
      <c r="BI22" s="677"/>
      <c r="BJ22" s="638" t="s">
        <v>1418</v>
      </c>
      <c r="BK22" s="634">
        <f>IF(LEFT(BJ22,1)="1",1,0)</f>
        <v>1</v>
      </c>
      <c r="BL22" s="638" t="s">
        <v>1418</v>
      </c>
      <c r="BM22" s="634">
        <f>IF(LEFT(BL22)="1",1,0)</f>
        <v>1</v>
      </c>
      <c r="BN22" s="167">
        <f>IF((BL22=BJ22)=TRUE,0,1)</f>
        <v>0</v>
      </c>
      <c r="BO22" s="677"/>
      <c r="BP22" s="638" t="s">
        <v>1418</v>
      </c>
      <c r="BQ22" s="634">
        <f>IF(LEFT(BP22,1)="1",1,0)</f>
        <v>1</v>
      </c>
      <c r="BR22" s="638" t="s">
        <v>1418</v>
      </c>
      <c r="BS22" s="634">
        <f>IF(LEFT(BR22)="1",1,0)</f>
        <v>1</v>
      </c>
      <c r="BT22" s="167">
        <f>IF((BR22=BP22)=TRUE,0,1)</f>
        <v>0</v>
      </c>
      <c r="BU22" s="677"/>
      <c r="BV22" s="638" t="s">
        <v>1418</v>
      </c>
      <c r="BW22" s="634">
        <f>IF(LEFT(BV22,1)="1",1,0)</f>
        <v>1</v>
      </c>
      <c r="BX22" s="638" t="s">
        <v>1418</v>
      </c>
      <c r="BY22" s="631">
        <f>IF(LEFT(BX22)="1",1,0)</f>
        <v>1</v>
      </c>
      <c r="BZ22" s="678">
        <f>IF((BX22=BV22)=TRUE,0,1)</f>
        <v>0</v>
      </c>
      <c r="CD22" s="615">
        <v>1</v>
      </c>
      <c r="CE22" s="615">
        <v>1</v>
      </c>
      <c r="CF22" s="615"/>
      <c r="CG22" s="615"/>
      <c r="CH22" s="615">
        <v>0</v>
      </c>
      <c r="CI22" s="617">
        <f>CA22</f>
        <v>0</v>
      </c>
      <c r="CJ22" s="615">
        <v>1</v>
      </c>
      <c r="CK22" s="615">
        <v>1</v>
      </c>
      <c r="CL22" s="616">
        <v>1</v>
      </c>
      <c r="CM22" s="617">
        <f>$M22</f>
        <v>0.9</v>
      </c>
      <c r="CN22" s="615">
        <v>1</v>
      </c>
      <c r="CO22" s="615">
        <v>1</v>
      </c>
      <c r="CP22" s="615">
        <v>1</v>
      </c>
      <c r="CQ22" s="615">
        <v>1</v>
      </c>
      <c r="CR22" s="615">
        <v>1</v>
      </c>
      <c r="CS22" s="615">
        <v>1</v>
      </c>
      <c r="CT22" s="587"/>
    </row>
    <row r="23" spans="1:98" ht="14.25">
      <c r="A23" s="1643" t="s">
        <v>1421</v>
      </c>
      <c r="B23" s="1643" t="s">
        <v>1422</v>
      </c>
      <c r="C23" s="284">
        <v>13</v>
      </c>
      <c r="D23" s="79" t="s">
        <v>1420</v>
      </c>
      <c r="E23" s="485"/>
      <c r="F23" s="275"/>
      <c r="G23" s="260" t="s">
        <v>495</v>
      </c>
      <c r="H23" s="275" t="s">
        <v>287</v>
      </c>
      <c r="I23" s="635">
        <v>3</v>
      </c>
      <c r="J23" s="601">
        <f t="shared" ref="J23:J36" si="20">AVERAGE(BV23,BP23,BJ23,BD23,AX23,AR23,AL23,AF23,Z23,T23)</f>
        <v>1</v>
      </c>
      <c r="K23" s="599">
        <f>AVERAGE(BW23,BQ23,BK23,BE23,AY23,AS23,AM23,AG23,AA23,U23)</f>
        <v>3</v>
      </c>
      <c r="L23" s="601">
        <f t="shared" ref="L23:L36" si="21">AVERAGE(BX23,BR23,BL23,BF23,AZ23,AT23,AN23,AH23,AB23,V23)</f>
        <v>1</v>
      </c>
      <c r="M23" s="597">
        <f>AVERAGE(BY23,BS23,BM23,BG23,BA23,AU23,AO23,AI23,AC23,W23)</f>
        <v>3</v>
      </c>
      <c r="N23" s="579">
        <f t="shared" si="14"/>
        <v>0</v>
      </c>
      <c r="O23" s="598">
        <f t="shared" si="1"/>
        <v>0</v>
      </c>
      <c r="P23" s="597">
        <f t="shared" si="15"/>
        <v>0</v>
      </c>
      <c r="Q23" s="977">
        <f t="shared" si="16"/>
        <v>0</v>
      </c>
      <c r="R23" s="978">
        <f t="shared" si="17"/>
        <v>0</v>
      </c>
      <c r="S23" s="677"/>
      <c r="T23" s="167">
        <f>IF(SUM(T25:T27)=0,"",T24/SUM(T25:T27))</f>
        <v>1</v>
      </c>
      <c r="U23" s="631">
        <f>IF(T23&gt;=0.95,3,IF(T23&gt;=0.9,1,0))</f>
        <v>3</v>
      </c>
      <c r="V23" s="167">
        <f>IF(SUM(V25:V27)=0,"",V24/SUM(V25:V27))</f>
        <v>1</v>
      </c>
      <c r="W23" s="1053">
        <f>IF(V23&gt;=0.95,3,IF(V23&gt;=0.9,1,0))</f>
        <v>3</v>
      </c>
      <c r="X23" s="167">
        <f t="shared" ref="X23:X36" si="22">IF(AND(T23=0,V23&lt;&gt;0),1,IF(AND(T23=0,V23=0),0,V23/T23-1))</f>
        <v>0</v>
      </c>
      <c r="Y23" s="677"/>
      <c r="Z23" s="167">
        <f>IF(SUM(Z25:Z27)=0,"",Z24/SUM(Z25:Z27))</f>
        <v>1</v>
      </c>
      <c r="AA23" s="634">
        <f>IF(Z23&gt;=0.95,3,IF(Z23&gt;=0.9,1,0))</f>
        <v>3</v>
      </c>
      <c r="AB23" s="167">
        <f>IF(SUM(AB25:AB27)=0,"",AB24/SUM(AB25:AB27))</f>
        <v>1</v>
      </c>
      <c r="AC23" s="997">
        <f>IF(AB23&gt;=0.95,3,IF(AB23&gt;=0.9,1,0))</f>
        <v>3</v>
      </c>
      <c r="AD23" s="167">
        <f t="shared" ref="AD23:AD36" si="23">IF(AND(Z23=0,AB23&lt;&gt;0),1,IF(AND(Z23=0,AB23=0),0,AB23/Z23-1))</f>
        <v>0</v>
      </c>
      <c r="AE23" s="677"/>
      <c r="AF23" s="167">
        <f>IF(SUM(AF25:AF27)=0,"",AF24/SUM(AF25:AF27))</f>
        <v>1</v>
      </c>
      <c r="AG23" s="634">
        <f>IF(AF23&gt;=0.95,3,IF(AF23&gt;=0.9,1,0))</f>
        <v>3</v>
      </c>
      <c r="AH23" s="167">
        <f>IF(SUM(AH25:AH27)=0,"",AH24/SUM(AH25:AH27))</f>
        <v>1</v>
      </c>
      <c r="AI23" s="634">
        <f>IF(AH23&gt;=0.95,3,IF(AH23&gt;=0.9,1,0))</f>
        <v>3</v>
      </c>
      <c r="AJ23" s="167">
        <f t="shared" ref="AJ23:AJ36" si="24">IF(AND(AF23=0,AH23&lt;&gt;0),1,IF(AND(AF23=0,AH23=0),0,AH23/AF23-1))</f>
        <v>0</v>
      </c>
      <c r="AK23" s="677"/>
      <c r="AL23" s="167">
        <f>IF(SUM(AL25:AL27)=0,"",AL24/SUM(AL25:AL27))</f>
        <v>1</v>
      </c>
      <c r="AM23" s="634">
        <f>IF(AL23&gt;=0.95,3,IF(AL23&gt;=0.9,1,0))</f>
        <v>3</v>
      </c>
      <c r="AN23" s="167">
        <f>IF(SUM(AN25:AN27)=0,"",AN24/SUM(AN25:AN27))</f>
        <v>1</v>
      </c>
      <c r="AO23" s="634">
        <f>IF(AN23&gt;=0.95,3,IF(AN23&gt;=0.9,1,0))</f>
        <v>3</v>
      </c>
      <c r="AP23" s="167">
        <f t="shared" ref="AP23:AP36" si="25">IF(AND(AL23=0,AN23&lt;&gt;0),1,IF(AND(AL23=0,AN23=0),0,AN23/AL23-1))</f>
        <v>0</v>
      </c>
      <c r="AQ23" s="677"/>
      <c r="AR23" s="167">
        <f>IF(SUM(AR25:AR27)=0,"",AR24/SUM(AR25:AR27))</f>
        <v>1</v>
      </c>
      <c r="AS23" s="634">
        <f>IF(AR23&gt;=0.95,3,IF(AR23&gt;=0.9,1,0))</f>
        <v>3</v>
      </c>
      <c r="AT23" s="167">
        <f>IF(SUM(AT25:AT27)=0,"",AT24/SUM(AT25:AT27))</f>
        <v>1</v>
      </c>
      <c r="AU23" s="634">
        <f>IF(AT23&gt;=0.95,3,IF(AT23&gt;=0.9,1,0))</f>
        <v>3</v>
      </c>
      <c r="AV23" s="167">
        <f t="shared" ref="AV23:AV36" si="26">IF(AND(AR23=0,AT23&lt;&gt;0),1,IF(AND(AR23=0,AT23=0),0,AT23/AR23-1))</f>
        <v>0</v>
      </c>
      <c r="AW23" s="677"/>
      <c r="AX23" s="167">
        <f>IF(SUM(AX25:AX27)=0,"",AX24/SUM(AX25:AX27))</f>
        <v>1</v>
      </c>
      <c r="AY23" s="634">
        <f>IF(AX23&gt;=0.95,3,IF(AX23&gt;=0.9,1,0))</f>
        <v>3</v>
      </c>
      <c r="AZ23" s="167">
        <f>IF(SUM(AZ25:AZ27)=0,"",AZ24/SUM(AZ25:AZ27))</f>
        <v>1</v>
      </c>
      <c r="BA23" s="634">
        <f>IF(AZ23&gt;=0.95,3,IF(AZ23&gt;=0.9,1,0))</f>
        <v>3</v>
      </c>
      <c r="BB23" s="167">
        <f t="shared" ref="BB23:BB36" si="27">IF(AND(AX23=0,AZ23&lt;&gt;0),1,IF(AND(AX23=0,AZ23=0),0,AZ23/AX23-1))</f>
        <v>0</v>
      </c>
      <c r="BC23" s="677"/>
      <c r="BD23" s="167">
        <f>IF(SUM(BD25:BD27)=0,"",BD24/SUM(BD25:BD27))</f>
        <v>1</v>
      </c>
      <c r="BE23" s="634">
        <f>IF(BD23&gt;=0.95,3,IF(BD23&gt;=0.9,1,0))</f>
        <v>3</v>
      </c>
      <c r="BF23" s="167">
        <f>IF(SUM(BF25:BF27)=0,"",BF24/SUM(BF25:BF27))</f>
        <v>1</v>
      </c>
      <c r="BG23" s="634">
        <f>IF(BF23&gt;=0.95,3,IF(BF23&gt;=0.9,1,0))</f>
        <v>3</v>
      </c>
      <c r="BH23" s="167">
        <f t="shared" ref="BH23:BH36" si="28">IF(AND(BD23=0,BF23&lt;&gt;0),1,IF(AND(BD23=0,BF23=0),0,BF23/BD23-1))</f>
        <v>0</v>
      </c>
      <c r="BI23" s="677"/>
      <c r="BJ23" s="167">
        <f>IF(SUM(BJ25:BJ27)=0,"",BJ24/SUM(BJ25:BJ27))</f>
        <v>1</v>
      </c>
      <c r="BK23" s="634">
        <f>IF(BJ23&gt;=0.95,3,IF(BJ23&gt;=0.9,1,0))</f>
        <v>3</v>
      </c>
      <c r="BL23" s="167">
        <f>IF(SUM(BL25:BL27)=0,"",BL24/SUM(BL25:BL27))</f>
        <v>1</v>
      </c>
      <c r="BM23" s="634">
        <f>IF(BL23&gt;=0.95,3,IF(BL23&gt;=0.9,1,0))</f>
        <v>3</v>
      </c>
      <c r="BN23" s="167">
        <f t="shared" ref="BN23:BN36" si="29">IF(AND(BJ23=0,BL23&lt;&gt;0),1,IF(AND(BJ23=0,BL23=0),0,BL23/BJ23-1))</f>
        <v>0</v>
      </c>
      <c r="BO23" s="677"/>
      <c r="BP23" s="167">
        <f>IF(SUM(BP25:BP27)=0,"",BP24/SUM(BP25:BP27))</f>
        <v>1</v>
      </c>
      <c r="BQ23" s="634">
        <f>IF(BP23&gt;=0.95,3,IF(BP23&gt;=0.9,1,0))</f>
        <v>3</v>
      </c>
      <c r="BR23" s="167">
        <f>IF(SUM(BR25:BR27)=0,"",BR24/SUM(BR25:BR27))</f>
        <v>1</v>
      </c>
      <c r="BS23" s="634">
        <f>IF(BR23&gt;=0.95,3,IF(BR23&gt;=0.9,1,0))</f>
        <v>3</v>
      </c>
      <c r="BT23" s="167">
        <f t="shared" ref="BT23:BT36" si="30">IF(AND(BP23=0,BR23&lt;&gt;0),1,IF(AND(BP23=0,BR23=0),0,BR23/BP23-1))</f>
        <v>0</v>
      </c>
      <c r="BU23" s="677"/>
      <c r="BV23" s="167">
        <f>IF(SUM(BV25:BV27)=0,"",BV24/SUM(BV25:BV27))</f>
        <v>1</v>
      </c>
      <c r="BW23" s="634">
        <f>IF(BV23&gt;=0.95,3,IF(BV23&gt;=0.9,1,0))</f>
        <v>3</v>
      </c>
      <c r="BX23" s="167">
        <f>IF(SUM(BX25:BX27)=0,"",BX24/SUM(BX25:BX27))</f>
        <v>1</v>
      </c>
      <c r="BY23" s="631">
        <f>IF(BX23&gt;=0.95,3,IF(BX23&gt;=0.9,1,0))</f>
        <v>3</v>
      </c>
      <c r="BZ23" s="678">
        <f t="shared" ref="BZ23:BZ36" si="31">IF(AND(BV23=0,BX23&lt;&gt;0),1,IF(AND(BV23=0,BX23=0),0,BX23/BV23-1))</f>
        <v>0</v>
      </c>
      <c r="CD23" s="615"/>
      <c r="CE23" s="615">
        <f t="shared" ref="CE23:CE37" si="32">M23</f>
        <v>3</v>
      </c>
      <c r="CF23" s="615">
        <v>1</v>
      </c>
      <c r="CG23" s="615">
        <f>$M23</f>
        <v>3</v>
      </c>
      <c r="CH23" s="615">
        <v>0</v>
      </c>
      <c r="CI23" s="615"/>
      <c r="CJ23" s="615">
        <v>1</v>
      </c>
      <c r="CK23" s="615">
        <f>$M23</f>
        <v>3</v>
      </c>
      <c r="CL23" s="615">
        <v>1</v>
      </c>
      <c r="CM23" s="615">
        <f>$M23</f>
        <v>3</v>
      </c>
      <c r="CN23" s="615">
        <v>1</v>
      </c>
      <c r="CO23" s="615">
        <f>$M23</f>
        <v>3</v>
      </c>
      <c r="CP23" s="615">
        <v>1</v>
      </c>
      <c r="CQ23" s="615">
        <f>$M23</f>
        <v>3</v>
      </c>
      <c r="CR23" s="615">
        <v>1</v>
      </c>
      <c r="CS23" s="615">
        <f>$M23</f>
        <v>3</v>
      </c>
    </row>
    <row r="24" spans="1:98" ht="14.25">
      <c r="A24" s="1626"/>
      <c r="B24" s="1626"/>
      <c r="C24" s="285">
        <v>13.1</v>
      </c>
      <c r="D24" s="638" t="s">
        <v>1423</v>
      </c>
      <c r="E24" s="490" t="s">
        <v>259</v>
      </c>
      <c r="F24" s="275"/>
      <c r="G24" s="260"/>
      <c r="H24" s="275"/>
      <c r="I24" s="282"/>
      <c r="J24" s="601">
        <f t="shared" si="20"/>
        <v>92076870.601999998</v>
      </c>
      <c r="K24" s="599"/>
      <c r="L24" s="601">
        <f t="shared" si="21"/>
        <v>76803535.708000004</v>
      </c>
      <c r="M24" s="597"/>
      <c r="N24" s="579">
        <f t="shared" si="14"/>
        <v>0</v>
      </c>
      <c r="O24" s="598">
        <f t="shared" si="1"/>
        <v>0</v>
      </c>
      <c r="P24" s="597">
        <f t="shared" si="15"/>
        <v>0</v>
      </c>
      <c r="Q24" s="977">
        <f t="shared" si="16"/>
        <v>0</v>
      </c>
      <c r="R24" s="978">
        <f t="shared" si="17"/>
        <v>0</v>
      </c>
      <c r="S24" s="677"/>
      <c r="T24" s="127">
        <v>46707868.730000004</v>
      </c>
      <c r="U24" s="433"/>
      <c r="V24" s="127">
        <v>36193047.849999994</v>
      </c>
      <c r="W24" s="433"/>
      <c r="X24" s="167">
        <f t="shared" si="22"/>
        <v>-0.22511883256292631</v>
      </c>
      <c r="Y24" s="677"/>
      <c r="Z24" s="127">
        <v>200249512.07999998</v>
      </c>
      <c r="AA24" s="381"/>
      <c r="AB24" s="127">
        <v>206981693.20999998</v>
      </c>
      <c r="AC24" s="433"/>
      <c r="AD24" s="167">
        <f t="shared" si="23"/>
        <v>3.3618963961872028E-2</v>
      </c>
      <c r="AE24" s="677"/>
      <c r="AF24" s="127">
        <v>170061803.26000005</v>
      </c>
      <c r="AG24" s="381"/>
      <c r="AH24" s="127">
        <v>112834817.74999999</v>
      </c>
      <c r="AI24" s="381"/>
      <c r="AJ24" s="167">
        <f t="shared" si="24"/>
        <v>-0.33650698988830685</v>
      </c>
      <c r="AK24" s="677"/>
      <c r="AL24" s="127">
        <v>38985882.469999999</v>
      </c>
      <c r="AM24" s="381"/>
      <c r="AN24" s="127">
        <v>58245500.719999999</v>
      </c>
      <c r="AO24" s="381"/>
      <c r="AP24" s="167">
        <f t="shared" si="25"/>
        <v>0.49401519293093998</v>
      </c>
      <c r="AQ24" s="677"/>
      <c r="AR24" s="127">
        <v>130382509.85999997</v>
      </c>
      <c r="AS24" s="381"/>
      <c r="AT24" s="127">
        <v>107261299.93999998</v>
      </c>
      <c r="AU24" s="381"/>
      <c r="AV24" s="167">
        <f t="shared" si="26"/>
        <v>-0.17733367723037929</v>
      </c>
      <c r="AW24" s="677"/>
      <c r="AX24" s="127">
        <v>141141036.21000004</v>
      </c>
      <c r="AY24" s="381"/>
      <c r="AZ24" s="127">
        <v>103955434.53999996</v>
      </c>
      <c r="BA24" s="381"/>
      <c r="BB24" s="167">
        <f t="shared" si="27"/>
        <v>-0.26346413961898785</v>
      </c>
      <c r="BC24" s="677"/>
      <c r="BD24" s="127">
        <v>28266395.989999998</v>
      </c>
      <c r="BE24" s="381"/>
      <c r="BF24" s="127">
        <v>19559698.670000002</v>
      </c>
      <c r="BG24" s="381"/>
      <c r="BH24" s="167">
        <f t="shared" si="28"/>
        <v>-0.30802290193204063</v>
      </c>
      <c r="BI24" s="677"/>
      <c r="BJ24" s="127">
        <v>101143884.60999998</v>
      </c>
      <c r="BK24" s="381"/>
      <c r="BL24" s="127">
        <v>76427428.810000002</v>
      </c>
      <c r="BM24" s="381"/>
      <c r="BN24" s="167">
        <f t="shared" si="29"/>
        <v>-0.24436925569256107</v>
      </c>
      <c r="BO24" s="677"/>
      <c r="BP24" s="127">
        <v>22649136.079999998</v>
      </c>
      <c r="BQ24" s="381"/>
      <c r="BR24" s="127">
        <v>17964825.649999999</v>
      </c>
      <c r="BS24" s="381"/>
      <c r="BT24" s="167">
        <f t="shared" si="30"/>
        <v>-0.20682071110590461</v>
      </c>
      <c r="BU24" s="677"/>
      <c r="BV24" s="127">
        <v>41180676.730000004</v>
      </c>
      <c r="BW24" s="381"/>
      <c r="BX24" s="127">
        <v>28611609.940000001</v>
      </c>
      <c r="BY24" s="433"/>
      <c r="BZ24" s="678">
        <f t="shared" si="31"/>
        <v>-0.30521758718072434</v>
      </c>
      <c r="CA24" s="588"/>
      <c r="CD24" s="615"/>
      <c r="CE24" s="615">
        <f t="shared" si="32"/>
        <v>0</v>
      </c>
      <c r="CF24" s="615"/>
      <c r="CG24" s="615">
        <f>M24</f>
        <v>0</v>
      </c>
      <c r="CH24" s="615">
        <v>0</v>
      </c>
      <c r="CI24" s="615"/>
      <c r="CJ24" s="616"/>
      <c r="CK24" s="616"/>
      <c r="CL24" s="616"/>
      <c r="CM24" s="616"/>
      <c r="CN24" s="616"/>
      <c r="CO24" s="616"/>
      <c r="CP24" s="616"/>
      <c r="CQ24" s="616"/>
      <c r="CR24" s="616"/>
      <c r="CS24" s="616"/>
    </row>
    <row r="25" spans="1:98" ht="14.25">
      <c r="A25" s="1626"/>
      <c r="B25" s="1626"/>
      <c r="C25" s="285">
        <v>13.2</v>
      </c>
      <c r="D25" s="638" t="s">
        <v>1424</v>
      </c>
      <c r="E25" s="490" t="s">
        <v>259</v>
      </c>
      <c r="F25" s="275"/>
      <c r="G25" s="260"/>
      <c r="H25" s="275"/>
      <c r="I25" s="282"/>
      <c r="J25" s="601">
        <f t="shared" si="20"/>
        <v>88231847.13000001</v>
      </c>
      <c r="K25" s="599"/>
      <c r="L25" s="601">
        <f t="shared" si="21"/>
        <v>73160422.11499998</v>
      </c>
      <c r="M25" s="597"/>
      <c r="N25" s="579">
        <f t="shared" si="14"/>
        <v>0</v>
      </c>
      <c r="O25" s="598">
        <f t="shared" si="1"/>
        <v>0</v>
      </c>
      <c r="P25" s="597">
        <f t="shared" si="15"/>
        <v>0</v>
      </c>
      <c r="Q25" s="977">
        <f t="shared" si="16"/>
        <v>0</v>
      </c>
      <c r="R25" s="978">
        <f t="shared" si="17"/>
        <v>0</v>
      </c>
      <c r="S25" s="677"/>
      <c r="T25" s="127">
        <v>45555168.730000004</v>
      </c>
      <c r="U25" s="433"/>
      <c r="V25" s="127">
        <v>34752547.849999994</v>
      </c>
      <c r="W25" s="433"/>
      <c r="X25" s="167">
        <f t="shared" si="22"/>
        <v>-0.2371327158071973</v>
      </c>
      <c r="Y25" s="677"/>
      <c r="Z25" s="127">
        <v>195111149.85999998</v>
      </c>
      <c r="AA25" s="381"/>
      <c r="AB25" s="127">
        <v>196697493.28</v>
      </c>
      <c r="AC25" s="433"/>
      <c r="AD25" s="167">
        <f t="shared" si="23"/>
        <v>8.1304601051159775E-3</v>
      </c>
      <c r="AE25" s="677"/>
      <c r="AF25" s="127">
        <v>160356686.26000005</v>
      </c>
      <c r="AG25" s="381"/>
      <c r="AH25" s="127">
        <v>105927976.04999998</v>
      </c>
      <c r="AI25" s="381"/>
      <c r="AJ25" s="167">
        <f t="shared" si="24"/>
        <v>-0.33942276732851739</v>
      </c>
      <c r="AK25" s="677"/>
      <c r="AL25" s="127">
        <v>38972982.469999999</v>
      </c>
      <c r="AM25" s="381"/>
      <c r="AN25" s="127">
        <v>58242500.719999999</v>
      </c>
      <c r="AO25" s="381"/>
      <c r="AP25" s="167">
        <f t="shared" si="25"/>
        <v>0.49443273336427307</v>
      </c>
      <c r="AQ25" s="677"/>
      <c r="AR25" s="127">
        <v>116959271.55999997</v>
      </c>
      <c r="AS25" s="381"/>
      <c r="AT25" s="127">
        <v>97311438.439999983</v>
      </c>
      <c r="AU25" s="381"/>
      <c r="AV25" s="167">
        <f t="shared" si="26"/>
        <v>-0.16798867552728103</v>
      </c>
      <c r="AW25" s="677"/>
      <c r="AX25" s="127">
        <v>137648874.51000005</v>
      </c>
      <c r="AY25" s="381"/>
      <c r="AZ25" s="127">
        <v>100046068.73999996</v>
      </c>
      <c r="BA25" s="381"/>
      <c r="BB25" s="167">
        <f t="shared" si="27"/>
        <v>-0.27317917348658216</v>
      </c>
      <c r="BC25" s="677"/>
      <c r="BD25" s="127">
        <v>26330689.989999998</v>
      </c>
      <c r="BE25" s="381"/>
      <c r="BF25" s="127">
        <v>17667498.670000002</v>
      </c>
      <c r="BG25" s="381"/>
      <c r="BH25" s="167">
        <f t="shared" si="28"/>
        <v>-0.32901497542564007</v>
      </c>
      <c r="BI25" s="677"/>
      <c r="BJ25" s="127">
        <v>99673526.409999982</v>
      </c>
      <c r="BK25" s="381"/>
      <c r="BL25" s="127">
        <v>75946656.310000002</v>
      </c>
      <c r="BM25" s="381"/>
      <c r="BN25" s="167">
        <f t="shared" si="29"/>
        <v>-0.23804585785799515</v>
      </c>
      <c r="BO25" s="677"/>
      <c r="BP25" s="127">
        <v>22545556.779999997</v>
      </c>
      <c r="BQ25" s="381"/>
      <c r="BR25" s="127">
        <v>17812931.149999999</v>
      </c>
      <c r="BS25" s="381"/>
      <c r="BT25" s="167">
        <f t="shared" si="30"/>
        <v>-0.20991389461706611</v>
      </c>
      <c r="BU25" s="677"/>
      <c r="BV25" s="127">
        <v>39164564.730000004</v>
      </c>
      <c r="BW25" s="381"/>
      <c r="BX25" s="127">
        <v>27199109.940000001</v>
      </c>
      <c r="BY25" s="433"/>
      <c r="BZ25" s="678">
        <f t="shared" si="31"/>
        <v>-0.30551736939985652</v>
      </c>
      <c r="CA25" s="588"/>
      <c r="CD25" s="615"/>
      <c r="CE25" s="615">
        <f t="shared" si="32"/>
        <v>0</v>
      </c>
      <c r="CF25" s="615"/>
      <c r="CG25" s="615">
        <f>M25</f>
        <v>0</v>
      </c>
      <c r="CH25" s="615">
        <v>0</v>
      </c>
      <c r="CI25" s="615"/>
      <c r="CJ25" s="616"/>
      <c r="CK25" s="616"/>
      <c r="CL25" s="616"/>
      <c r="CM25" s="616"/>
      <c r="CN25" s="616"/>
      <c r="CO25" s="616"/>
      <c r="CP25" s="616"/>
      <c r="CQ25" s="616"/>
      <c r="CR25" s="616"/>
      <c r="CS25" s="616"/>
    </row>
    <row r="26" spans="1:98" ht="14.25">
      <c r="A26" s="1626"/>
      <c r="B26" s="1626"/>
      <c r="C26" s="285">
        <v>13.3</v>
      </c>
      <c r="D26" s="638" t="s">
        <v>1425</v>
      </c>
      <c r="E26" s="490" t="s">
        <v>259</v>
      </c>
      <c r="F26" s="275"/>
      <c r="G26" s="260"/>
      <c r="H26" s="275"/>
      <c r="I26" s="282"/>
      <c r="J26" s="601">
        <f t="shared" si="20"/>
        <v>3738879.1120000007</v>
      </c>
      <c r="K26" s="599"/>
      <c r="L26" s="601">
        <f t="shared" si="21"/>
        <v>3591835.1230000006</v>
      </c>
      <c r="M26" s="597"/>
      <c r="N26" s="579">
        <f t="shared" si="14"/>
        <v>0</v>
      </c>
      <c r="O26" s="598">
        <f t="shared" si="1"/>
        <v>0</v>
      </c>
      <c r="P26" s="597">
        <f t="shared" si="15"/>
        <v>0</v>
      </c>
      <c r="Q26" s="977">
        <f t="shared" si="16"/>
        <v>0</v>
      </c>
      <c r="R26" s="978">
        <f t="shared" si="17"/>
        <v>0</v>
      </c>
      <c r="S26" s="677"/>
      <c r="T26" s="127">
        <v>1152700</v>
      </c>
      <c r="U26" s="433"/>
      <c r="V26" s="127">
        <v>1440500</v>
      </c>
      <c r="W26" s="433"/>
      <c r="X26" s="167">
        <f t="shared" si="22"/>
        <v>0.2496746768456668</v>
      </c>
      <c r="Y26" s="677"/>
      <c r="Z26" s="127">
        <v>5054851.32</v>
      </c>
      <c r="AA26" s="381"/>
      <c r="AB26" s="127">
        <v>10130775.23</v>
      </c>
      <c r="AC26" s="433"/>
      <c r="AD26" s="167">
        <f t="shared" si="23"/>
        <v>1.0041687853244317</v>
      </c>
      <c r="AE26" s="677"/>
      <c r="AF26" s="127">
        <v>9351000</v>
      </c>
      <c r="AG26" s="381"/>
      <c r="AH26" s="127">
        <v>6830900</v>
      </c>
      <c r="AI26" s="381"/>
      <c r="AJ26" s="167">
        <f t="shared" si="24"/>
        <v>-0.26950058817238798</v>
      </c>
      <c r="AK26" s="677"/>
      <c r="AL26" s="127">
        <v>0</v>
      </c>
      <c r="AM26" s="381"/>
      <c r="AN26" s="127">
        <v>3000</v>
      </c>
      <c r="AO26" s="381"/>
      <c r="AP26" s="167">
        <f t="shared" si="25"/>
        <v>1</v>
      </c>
      <c r="AQ26" s="677"/>
      <c r="AR26" s="127">
        <v>12994020</v>
      </c>
      <c r="AS26" s="381"/>
      <c r="AT26" s="127">
        <v>9911676</v>
      </c>
      <c r="AU26" s="381"/>
      <c r="AV26" s="167">
        <f t="shared" si="26"/>
        <v>-0.23721250236647318</v>
      </c>
      <c r="AW26" s="677"/>
      <c r="AX26" s="127">
        <v>3417300</v>
      </c>
      <c r="AY26" s="381"/>
      <c r="AZ26" s="127">
        <v>3857100</v>
      </c>
      <c r="BA26" s="381"/>
      <c r="BB26" s="167">
        <f t="shared" si="27"/>
        <v>0.12869809498727069</v>
      </c>
      <c r="BC26" s="677"/>
      <c r="BD26" s="127">
        <v>1934700</v>
      </c>
      <c r="BE26" s="381"/>
      <c r="BF26" s="127">
        <v>1892200</v>
      </c>
      <c r="BG26" s="381"/>
      <c r="BH26" s="167">
        <f t="shared" si="28"/>
        <v>-2.1967230061508247E-2</v>
      </c>
      <c r="BI26" s="677"/>
      <c r="BJ26" s="127">
        <v>1438219.8</v>
      </c>
      <c r="BK26" s="381"/>
      <c r="BL26" s="127">
        <v>416200</v>
      </c>
      <c r="BM26" s="381"/>
      <c r="BN26" s="167">
        <f t="shared" si="29"/>
        <v>-0.71061446935996853</v>
      </c>
      <c r="BO26" s="677"/>
      <c r="BP26" s="127">
        <v>31900</v>
      </c>
      <c r="BQ26" s="381"/>
      <c r="BR26" s="127">
        <v>23500</v>
      </c>
      <c r="BS26" s="381"/>
      <c r="BT26" s="167">
        <f t="shared" si="30"/>
        <v>-0.26332288401253923</v>
      </c>
      <c r="BU26" s="677"/>
      <c r="BV26" s="127">
        <v>2014100</v>
      </c>
      <c r="BW26" s="381"/>
      <c r="BX26" s="127">
        <v>1412500</v>
      </c>
      <c r="BY26" s="433"/>
      <c r="BZ26" s="678">
        <f t="shared" si="31"/>
        <v>-0.29869420584876616</v>
      </c>
      <c r="CA26" s="588"/>
      <c r="CD26" s="615"/>
      <c r="CE26" s="615">
        <f t="shared" si="32"/>
        <v>0</v>
      </c>
      <c r="CF26" s="615"/>
      <c r="CG26" s="615">
        <f>M26</f>
        <v>0</v>
      </c>
      <c r="CH26" s="615">
        <v>0</v>
      </c>
      <c r="CI26" s="615"/>
      <c r="CJ26" s="616"/>
      <c r="CK26" s="616"/>
      <c r="CL26" s="616"/>
      <c r="CM26" s="616"/>
      <c r="CN26" s="616"/>
      <c r="CO26" s="616"/>
      <c r="CP26" s="616"/>
      <c r="CQ26" s="616"/>
      <c r="CR26" s="616"/>
      <c r="CS26" s="616"/>
    </row>
    <row r="27" spans="1:98" ht="14.25">
      <c r="A27" s="1612"/>
      <c r="B27" s="1612"/>
      <c r="C27" s="285">
        <v>13.4</v>
      </c>
      <c r="D27" s="638" t="s">
        <v>1426</v>
      </c>
      <c r="E27" s="490" t="s">
        <v>259</v>
      </c>
      <c r="F27" s="275"/>
      <c r="G27" s="260"/>
      <c r="H27" s="275"/>
      <c r="I27" s="282"/>
      <c r="J27" s="601">
        <f t="shared" si="20"/>
        <v>106144.35999999999</v>
      </c>
      <c r="K27" s="599"/>
      <c r="L27" s="601">
        <f t="shared" si="21"/>
        <v>51278.47</v>
      </c>
      <c r="M27" s="597"/>
      <c r="N27" s="579">
        <f t="shared" si="14"/>
        <v>0</v>
      </c>
      <c r="O27" s="598">
        <f t="shared" si="1"/>
        <v>0</v>
      </c>
      <c r="P27" s="597">
        <f t="shared" si="15"/>
        <v>0</v>
      </c>
      <c r="Q27" s="977">
        <f t="shared" si="16"/>
        <v>0</v>
      </c>
      <c r="R27" s="978">
        <f t="shared" si="17"/>
        <v>0</v>
      </c>
      <c r="S27" s="677"/>
      <c r="T27" s="127">
        <v>0</v>
      </c>
      <c r="U27" s="433"/>
      <c r="V27" s="127">
        <v>0</v>
      </c>
      <c r="W27" s="433"/>
      <c r="X27" s="167">
        <f t="shared" si="22"/>
        <v>0</v>
      </c>
      <c r="Y27" s="677"/>
      <c r="Z27" s="127">
        <v>83510.899999999994</v>
      </c>
      <c r="AA27" s="381"/>
      <c r="AB27" s="127">
        <v>153424.70000000001</v>
      </c>
      <c r="AC27" s="433"/>
      <c r="AD27" s="167">
        <f t="shared" si="23"/>
        <v>0.8371817331629765</v>
      </c>
      <c r="AE27" s="677"/>
      <c r="AF27" s="127">
        <v>354117</v>
      </c>
      <c r="AG27" s="381"/>
      <c r="AH27" s="127">
        <v>75941.700000000012</v>
      </c>
      <c r="AI27" s="381"/>
      <c r="AJ27" s="167">
        <f t="shared" si="24"/>
        <v>-0.78554630249324375</v>
      </c>
      <c r="AK27" s="677"/>
      <c r="AL27" s="127">
        <v>12900</v>
      </c>
      <c r="AM27" s="381"/>
      <c r="AN27" s="127">
        <v>0</v>
      </c>
      <c r="AO27" s="381"/>
      <c r="AP27" s="167">
        <f t="shared" si="25"/>
        <v>-1</v>
      </c>
      <c r="AQ27" s="677"/>
      <c r="AR27" s="127">
        <v>429218.3</v>
      </c>
      <c r="AS27" s="381"/>
      <c r="AT27" s="127">
        <v>38185.5</v>
      </c>
      <c r="AU27" s="381"/>
      <c r="AV27" s="167">
        <f t="shared" si="26"/>
        <v>-0.91103478113584624</v>
      </c>
      <c r="AW27" s="677"/>
      <c r="AX27" s="127">
        <v>74861.7</v>
      </c>
      <c r="AY27" s="381"/>
      <c r="AZ27" s="127">
        <v>52265.799999999996</v>
      </c>
      <c r="BA27" s="381"/>
      <c r="BB27" s="167">
        <f t="shared" si="27"/>
        <v>-0.30183525086926966</v>
      </c>
      <c r="BC27" s="677"/>
      <c r="BD27" s="127">
        <v>1006</v>
      </c>
      <c r="BE27" s="381"/>
      <c r="BF27" s="127">
        <v>0</v>
      </c>
      <c r="BG27" s="381"/>
      <c r="BH27" s="167">
        <f t="shared" si="28"/>
        <v>-1</v>
      </c>
      <c r="BI27" s="677"/>
      <c r="BJ27" s="127">
        <v>32138.400000000001</v>
      </c>
      <c r="BK27" s="381"/>
      <c r="BL27" s="127">
        <v>64572.5</v>
      </c>
      <c r="BM27" s="381"/>
      <c r="BN27" s="167">
        <f t="shared" si="29"/>
        <v>1.0092008314041769</v>
      </c>
      <c r="BO27" s="677"/>
      <c r="BP27" s="127">
        <v>71679.3</v>
      </c>
      <c r="BQ27" s="381"/>
      <c r="BR27" s="127">
        <v>128394.5</v>
      </c>
      <c r="BS27" s="381"/>
      <c r="BT27" s="167">
        <f t="shared" si="30"/>
        <v>0.79123540547968507</v>
      </c>
      <c r="BU27" s="677"/>
      <c r="BV27" s="127">
        <v>2012</v>
      </c>
      <c r="BW27" s="381"/>
      <c r="BX27" s="127">
        <v>0</v>
      </c>
      <c r="BY27" s="433"/>
      <c r="BZ27" s="678">
        <f t="shared" si="31"/>
        <v>-1</v>
      </c>
      <c r="CA27" s="588"/>
      <c r="CD27" s="615"/>
      <c r="CE27" s="615">
        <f t="shared" si="32"/>
        <v>0</v>
      </c>
      <c r="CF27" s="615"/>
      <c r="CG27" s="615">
        <f>M27</f>
        <v>0</v>
      </c>
      <c r="CH27" s="615">
        <v>0</v>
      </c>
      <c r="CI27" s="615"/>
      <c r="CJ27" s="616"/>
      <c r="CK27" s="616"/>
      <c r="CL27" s="616"/>
      <c r="CM27" s="616"/>
      <c r="CN27" s="616"/>
      <c r="CO27" s="616"/>
      <c r="CP27" s="616"/>
      <c r="CQ27" s="616"/>
      <c r="CR27" s="616"/>
      <c r="CS27" s="616"/>
    </row>
    <row r="28" spans="1:98" ht="14.25">
      <c r="A28" s="1643" t="s">
        <v>1428</v>
      </c>
      <c r="B28" s="1643" t="s">
        <v>1429</v>
      </c>
      <c r="C28" s="284">
        <v>14</v>
      </c>
      <c r="D28" s="79" t="s">
        <v>1427</v>
      </c>
      <c r="E28" s="485"/>
      <c r="F28" s="275"/>
      <c r="G28" s="260" t="s">
        <v>495</v>
      </c>
      <c r="H28" s="275" t="s">
        <v>287</v>
      </c>
      <c r="I28" s="635">
        <v>3</v>
      </c>
      <c r="J28" s="601">
        <f t="shared" si="20"/>
        <v>1</v>
      </c>
      <c r="K28" s="599">
        <f>AVERAGE(BW28,BQ28,BK28,BE28,AY28,AS28,AM28,AG28,AA28,U28)</f>
        <v>3</v>
      </c>
      <c r="L28" s="601">
        <f t="shared" si="21"/>
        <v>1</v>
      </c>
      <c r="M28" s="597">
        <f>AVERAGE(BY28,BS28,BM28,BG28,BA28,AU28,AO28,AI28,AC28,W28)</f>
        <v>3</v>
      </c>
      <c r="N28" s="579">
        <f t="shared" si="14"/>
        <v>0</v>
      </c>
      <c r="O28" s="598">
        <f t="shared" si="1"/>
        <v>0</v>
      </c>
      <c r="P28" s="597">
        <f t="shared" si="15"/>
        <v>0</v>
      </c>
      <c r="Q28" s="977">
        <f t="shared" si="16"/>
        <v>0</v>
      </c>
      <c r="R28" s="978">
        <f t="shared" si="17"/>
        <v>0</v>
      </c>
      <c r="S28" s="677"/>
      <c r="T28" s="167">
        <f>IF(SUM(T30:T31)=0,"",T29/SUM(T30:T31))</f>
        <v>1</v>
      </c>
      <c r="U28" s="631">
        <f>IF(T28&gt;=0.95,3,IF(T28&gt;=0.9,1,0))</f>
        <v>3</v>
      </c>
      <c r="V28" s="167">
        <f>IF(SUM(V30:V31)=0,"",V29/SUM(V30:V31))</f>
        <v>1</v>
      </c>
      <c r="W28" s="1053">
        <f>IF(V28&gt;=0.95,3,IF(V28&gt;=0.9,1,0))</f>
        <v>3</v>
      </c>
      <c r="X28" s="167">
        <f t="shared" si="22"/>
        <v>0</v>
      </c>
      <c r="Y28" s="677"/>
      <c r="Z28" s="167">
        <f>IF(SUM(Z30:Z31)=0,"",Z29/SUM(Z30:Z31))</f>
        <v>1</v>
      </c>
      <c r="AA28" s="634">
        <f>IF(Z28&gt;=0.95,3,IF(Z28&gt;=0.9,1,0))</f>
        <v>3</v>
      </c>
      <c r="AB28" s="167">
        <f>IF(SUM(AB30:AB31)=0,"",AB29/SUM(AB30:AB31))</f>
        <v>1</v>
      </c>
      <c r="AC28" s="997">
        <f>IF(AB28&gt;=0.95,3,IF(AB28&gt;=0.9,1,0))</f>
        <v>3</v>
      </c>
      <c r="AD28" s="167">
        <f t="shared" si="23"/>
        <v>0</v>
      </c>
      <c r="AE28" s="677"/>
      <c r="AF28" s="167">
        <f>IF(SUM(AF30:AF31)=0,"",AF29/SUM(AF30:AF31))</f>
        <v>1</v>
      </c>
      <c r="AG28" s="634">
        <f>IF(AF28&gt;=0.95,3,IF(AF28&gt;=0.9,1,0))</f>
        <v>3</v>
      </c>
      <c r="AH28" s="167">
        <f>IF(SUM(AH30:AH31)=0,"",AH29/SUM(AH30:AH31))</f>
        <v>1</v>
      </c>
      <c r="AI28" s="634">
        <f>IF(AH28&gt;=0.95,3,IF(AH28&gt;=0.9,1,0))</f>
        <v>3</v>
      </c>
      <c r="AJ28" s="167">
        <f t="shared" si="24"/>
        <v>0</v>
      </c>
      <c r="AK28" s="677"/>
      <c r="AL28" s="167">
        <f>IF(SUM(AL30:AL31)=0,"",AL29/SUM(AL30:AL31))</f>
        <v>1</v>
      </c>
      <c r="AM28" s="634">
        <f>IF(AL28&gt;=0.95,3,IF(AL28&gt;=0.9,1,0))</f>
        <v>3</v>
      </c>
      <c r="AN28" s="167">
        <f>IF(SUM(AN30:AN31)=0,"",AN29/SUM(AN30:AN31))</f>
        <v>1</v>
      </c>
      <c r="AO28" s="634">
        <f>IF(AN28&gt;=0.95,3,IF(AN28&gt;=0.9,1,0))</f>
        <v>3</v>
      </c>
      <c r="AP28" s="167">
        <f t="shared" si="25"/>
        <v>0</v>
      </c>
      <c r="AQ28" s="677"/>
      <c r="AR28" s="167">
        <f>IF(SUM(AR30:AR31)=0,"",AR29/SUM(AR30:AR31))</f>
        <v>1</v>
      </c>
      <c r="AS28" s="634">
        <f>IF(AR28&gt;=0.95,3,IF(AR28&gt;=0.9,1,0))</f>
        <v>3</v>
      </c>
      <c r="AT28" s="167">
        <f>IF(SUM(AT30:AT31)=0,"",AT29/SUM(AT30:AT31))</f>
        <v>1</v>
      </c>
      <c r="AU28" s="634">
        <f>IF(AT28&gt;=0.95,3,IF(AT28&gt;=0.9,1,0))</f>
        <v>3</v>
      </c>
      <c r="AV28" s="167">
        <f t="shared" si="26"/>
        <v>0</v>
      </c>
      <c r="AW28" s="677"/>
      <c r="AX28" s="167">
        <f>IF(SUM(AX30:AX31)=0,"",AX29/SUM(AX30:AX31))</f>
        <v>1</v>
      </c>
      <c r="AY28" s="634">
        <f>IF(AX28&gt;=0.95,3,IF(AX28&gt;=0.9,1,0))</f>
        <v>3</v>
      </c>
      <c r="AZ28" s="167">
        <f>IF(SUM(AZ30:AZ31)=0,"",AZ29/SUM(AZ30:AZ31))</f>
        <v>1</v>
      </c>
      <c r="BA28" s="634">
        <f>IF(AZ28&gt;=0.95,3,IF(AZ28&gt;=0.9,1,0))</f>
        <v>3</v>
      </c>
      <c r="BB28" s="167">
        <f t="shared" si="27"/>
        <v>0</v>
      </c>
      <c r="BC28" s="677"/>
      <c r="BD28" s="167">
        <f>IF(SUM(BD30:BD31)=0,"",BD29/SUM(BD30:BD31))</f>
        <v>1</v>
      </c>
      <c r="BE28" s="634">
        <f>IF(BD28&gt;=0.95,3,IF(BD28&gt;=0.9,1,0))</f>
        <v>3</v>
      </c>
      <c r="BF28" s="167">
        <f>IF(SUM(BF30:BF31)=0,"",BF29/SUM(BF30:BF31))</f>
        <v>1</v>
      </c>
      <c r="BG28" s="634">
        <f>IF(BF28&gt;=0.95,3,IF(BF28&gt;=0.9,1,0))</f>
        <v>3</v>
      </c>
      <c r="BH28" s="167">
        <f t="shared" si="28"/>
        <v>0</v>
      </c>
      <c r="BI28" s="677"/>
      <c r="BJ28" s="167">
        <f>IF(SUM(BJ30:BJ31)=0,"",BJ29/SUM(BJ30:BJ31))</f>
        <v>1</v>
      </c>
      <c r="BK28" s="634">
        <f>IF(BJ28&gt;=0.95,3,IF(BJ28&gt;=0.9,1,0))</f>
        <v>3</v>
      </c>
      <c r="BL28" s="167">
        <f>IF(SUM(BL30:BL31)=0,"",BL29/SUM(BL30:BL31))</f>
        <v>1</v>
      </c>
      <c r="BM28" s="634">
        <f>IF(BL28&gt;=0.95,3,IF(BL28&gt;=0.9,1,0))</f>
        <v>3</v>
      </c>
      <c r="BN28" s="167">
        <f t="shared" si="29"/>
        <v>0</v>
      </c>
      <c r="BO28" s="677"/>
      <c r="BP28" s="167">
        <f>IF(SUM(BP30:BP31)=0,"",BP29/SUM(BP30:BP31))</f>
        <v>1</v>
      </c>
      <c r="BQ28" s="634">
        <f>IF(BP28&gt;=0.95,3,IF(BP28&gt;=0.9,1,0))</f>
        <v>3</v>
      </c>
      <c r="BR28" s="167">
        <f>IF(SUM(BR30:BR31)=0,"",BR29/SUM(BR30:BR31))</f>
        <v>1</v>
      </c>
      <c r="BS28" s="634">
        <f>IF(BR28&gt;=0.95,3,IF(BR28&gt;=0.9,1,0))</f>
        <v>3</v>
      </c>
      <c r="BT28" s="167">
        <f t="shared" si="30"/>
        <v>0</v>
      </c>
      <c r="BU28" s="677"/>
      <c r="BV28" s="167">
        <f>IF(SUM(BV30:BV31)=0,"",BV29/SUM(BV30:BV31))</f>
        <v>1</v>
      </c>
      <c r="BW28" s="634">
        <f>IF(BV28&gt;=0.95,3,IF(BV28&gt;=0.9,1,0))</f>
        <v>3</v>
      </c>
      <c r="BX28" s="167">
        <f>IF(SUM(BX30:BX31)=0,"",BX29/SUM(BX30:BX31))</f>
        <v>1</v>
      </c>
      <c r="BY28" s="631">
        <f>IF(BX28&gt;=0.95,3,IF(BX28&gt;=0.9,1,0))</f>
        <v>3</v>
      </c>
      <c r="BZ28" s="678">
        <f t="shared" si="31"/>
        <v>0</v>
      </c>
      <c r="CA28" s="588"/>
      <c r="CD28" s="615"/>
      <c r="CE28" s="615">
        <f t="shared" si="32"/>
        <v>3</v>
      </c>
      <c r="CF28" s="615">
        <v>1</v>
      </c>
      <c r="CG28" s="615">
        <f>$M28</f>
        <v>3</v>
      </c>
      <c r="CH28" s="615">
        <v>0</v>
      </c>
      <c r="CI28" s="615"/>
      <c r="CJ28" s="615">
        <v>1</v>
      </c>
      <c r="CK28" s="615">
        <f>$M28</f>
        <v>3</v>
      </c>
      <c r="CL28" s="615">
        <v>1</v>
      </c>
      <c r="CM28" s="615">
        <f>$M28</f>
        <v>3</v>
      </c>
      <c r="CN28" s="615">
        <v>1</v>
      </c>
      <c r="CO28" s="615">
        <f>$M28</f>
        <v>3</v>
      </c>
      <c r="CP28" s="615">
        <v>1</v>
      </c>
      <c r="CQ28" s="615">
        <f>$M28</f>
        <v>3</v>
      </c>
      <c r="CR28" s="615">
        <v>1</v>
      </c>
      <c r="CS28" s="615">
        <f>$M28</f>
        <v>3</v>
      </c>
    </row>
    <row r="29" spans="1:98" ht="14.25">
      <c r="A29" s="1626"/>
      <c r="B29" s="1626"/>
      <c r="C29" s="285">
        <v>14.1</v>
      </c>
      <c r="D29" s="638" t="s">
        <v>1430</v>
      </c>
      <c r="E29" s="490" t="s">
        <v>259</v>
      </c>
      <c r="F29" s="275"/>
      <c r="G29" s="260"/>
      <c r="H29" s="275"/>
      <c r="I29" s="282"/>
      <c r="J29" s="601">
        <f t="shared" si="20"/>
        <v>33762238.663000003</v>
      </c>
      <c r="K29" s="599"/>
      <c r="L29" s="601">
        <f t="shared" si="21"/>
        <v>30551717.104000013</v>
      </c>
      <c r="M29" s="597"/>
      <c r="N29" s="579">
        <f t="shared" si="14"/>
        <v>0</v>
      </c>
      <c r="O29" s="598">
        <f t="shared" si="1"/>
        <v>0</v>
      </c>
      <c r="P29" s="597">
        <f t="shared" si="15"/>
        <v>0</v>
      </c>
      <c r="Q29" s="977">
        <f t="shared" si="16"/>
        <v>0</v>
      </c>
      <c r="R29" s="978">
        <f t="shared" si="17"/>
        <v>0</v>
      </c>
      <c r="S29" s="677"/>
      <c r="T29" s="127">
        <v>49031598.879999965</v>
      </c>
      <c r="U29" s="62"/>
      <c r="V29" s="127">
        <v>37299795.909999996</v>
      </c>
      <c r="W29" s="1053"/>
      <c r="X29" s="167">
        <f t="shared" si="22"/>
        <v>-0.23927025098064636</v>
      </c>
      <c r="Y29" s="677"/>
      <c r="Z29" s="127">
        <v>54406417.450000033</v>
      </c>
      <c r="AA29" s="634"/>
      <c r="AB29" s="127">
        <v>64579270.810000032</v>
      </c>
      <c r="AC29" s="997"/>
      <c r="AD29" s="167">
        <f t="shared" si="23"/>
        <v>0.18697892338434041</v>
      </c>
      <c r="AE29" s="677"/>
      <c r="AF29" s="127">
        <v>38982864.319999978</v>
      </c>
      <c r="AG29" s="634"/>
      <c r="AH29" s="127">
        <v>35386059.630000003</v>
      </c>
      <c r="AI29" s="634"/>
      <c r="AJ29" s="167">
        <f t="shared" si="24"/>
        <v>-9.2266300918135702E-2</v>
      </c>
      <c r="AK29" s="677"/>
      <c r="AL29" s="127">
        <v>45200135.179999977</v>
      </c>
      <c r="AM29" s="634"/>
      <c r="AN29" s="127">
        <v>33897177.19000002</v>
      </c>
      <c r="AO29" s="634"/>
      <c r="AP29" s="167">
        <f t="shared" si="25"/>
        <v>-0.25006469438616319</v>
      </c>
      <c r="AQ29" s="677"/>
      <c r="AR29" s="127">
        <v>46789090.080000028</v>
      </c>
      <c r="AS29" s="634"/>
      <c r="AT29" s="127">
        <v>42906379.93000003</v>
      </c>
      <c r="AU29" s="634"/>
      <c r="AV29" s="167">
        <f t="shared" si="26"/>
        <v>-8.2983236975998853E-2</v>
      </c>
      <c r="AW29" s="677"/>
      <c r="AX29" s="127">
        <v>34106540.75999999</v>
      </c>
      <c r="AY29" s="634"/>
      <c r="AZ29" s="127">
        <v>37715224.250000045</v>
      </c>
      <c r="BA29" s="634"/>
      <c r="BB29" s="167">
        <f t="shared" si="27"/>
        <v>0.10580620049959166</v>
      </c>
      <c r="BC29" s="677"/>
      <c r="BD29" s="127">
        <v>11706673.620000001</v>
      </c>
      <c r="BE29" s="634"/>
      <c r="BF29" s="127">
        <v>13197153.280000001</v>
      </c>
      <c r="BG29" s="634"/>
      <c r="BH29" s="167">
        <f t="shared" si="28"/>
        <v>0.12731880193991429</v>
      </c>
      <c r="BI29" s="677"/>
      <c r="BJ29" s="127">
        <v>28862466.780000005</v>
      </c>
      <c r="BK29" s="634"/>
      <c r="BL29" s="127">
        <v>22111523.72000001</v>
      </c>
      <c r="BM29" s="634"/>
      <c r="BN29" s="167">
        <f t="shared" si="29"/>
        <v>-0.23390041854211863</v>
      </c>
      <c r="BO29" s="677"/>
      <c r="BP29" s="127">
        <v>18215040.100000005</v>
      </c>
      <c r="BQ29" s="634"/>
      <c r="BR29" s="127">
        <v>9389421.6900000032</v>
      </c>
      <c r="BS29" s="634"/>
      <c r="BT29" s="167">
        <f t="shared" si="30"/>
        <v>-0.48452368820203695</v>
      </c>
      <c r="BU29" s="677"/>
      <c r="BV29" s="127">
        <v>10321559.460000001</v>
      </c>
      <c r="BW29" s="634"/>
      <c r="BX29" s="127">
        <v>9035164.6300000139</v>
      </c>
      <c r="BY29" s="62"/>
      <c r="BZ29" s="678">
        <f t="shared" si="31"/>
        <v>-0.12463182864810884</v>
      </c>
      <c r="CA29" s="588"/>
      <c r="CD29" s="615"/>
      <c r="CE29" s="615">
        <f t="shared" si="32"/>
        <v>0</v>
      </c>
      <c r="CF29" s="615"/>
      <c r="CG29" s="615">
        <f t="shared" ref="CG29:CG37" si="33">M29</f>
        <v>0</v>
      </c>
      <c r="CH29" s="615">
        <v>0</v>
      </c>
      <c r="CI29" s="615"/>
      <c r="CJ29" s="616"/>
      <c r="CK29" s="616"/>
      <c r="CL29" s="616"/>
      <c r="CM29" s="616"/>
      <c r="CN29" s="616"/>
      <c r="CO29" s="616"/>
      <c r="CP29" s="616"/>
      <c r="CQ29" s="616"/>
      <c r="CR29" s="616"/>
      <c r="CS29" s="616"/>
    </row>
    <row r="30" spans="1:98" ht="14.25">
      <c r="A30" s="1626"/>
      <c r="B30" s="1626"/>
      <c r="C30" s="285">
        <v>14.2</v>
      </c>
      <c r="D30" s="638" t="s">
        <v>1431</v>
      </c>
      <c r="E30" s="490" t="s">
        <v>259</v>
      </c>
      <c r="F30" s="275"/>
      <c r="G30" s="260"/>
      <c r="H30" s="275"/>
      <c r="I30" s="282"/>
      <c r="J30" s="601">
        <f t="shared" si="20"/>
        <v>26060671.585000001</v>
      </c>
      <c r="K30" s="599"/>
      <c r="L30" s="601">
        <f t="shared" si="21"/>
        <v>22000360.355000012</v>
      </c>
      <c r="M30" s="597"/>
      <c r="N30" s="579">
        <f t="shared" si="14"/>
        <v>0</v>
      </c>
      <c r="O30" s="598">
        <f t="shared" si="1"/>
        <v>0</v>
      </c>
      <c r="P30" s="597">
        <f t="shared" si="15"/>
        <v>0</v>
      </c>
      <c r="Q30" s="977">
        <f t="shared" si="16"/>
        <v>0</v>
      </c>
      <c r="R30" s="978">
        <f t="shared" si="17"/>
        <v>0</v>
      </c>
      <c r="S30" s="677"/>
      <c r="T30" s="127">
        <v>44378489.779999964</v>
      </c>
      <c r="U30" s="62"/>
      <c r="V30" s="127">
        <v>34451306.139999993</v>
      </c>
      <c r="W30" s="1053"/>
      <c r="X30" s="167">
        <f t="shared" si="22"/>
        <v>-0.22369358870057476</v>
      </c>
      <c r="Y30" s="677"/>
      <c r="Z30" s="127">
        <v>43675769.740000039</v>
      </c>
      <c r="AA30" s="634"/>
      <c r="AB30" s="127">
        <v>48036825.700000033</v>
      </c>
      <c r="AC30" s="997"/>
      <c r="AD30" s="167">
        <f t="shared" si="23"/>
        <v>9.9850694926756134E-2</v>
      </c>
      <c r="AE30" s="677"/>
      <c r="AF30" s="127">
        <v>23975930.569999978</v>
      </c>
      <c r="AG30" s="634"/>
      <c r="AH30" s="127">
        <v>21888981.920000006</v>
      </c>
      <c r="AI30" s="634"/>
      <c r="AJ30" s="167">
        <f t="shared" si="24"/>
        <v>-8.7043489048607703E-2</v>
      </c>
      <c r="AK30" s="677"/>
      <c r="AL30" s="127">
        <v>41896473.969999976</v>
      </c>
      <c r="AM30" s="634"/>
      <c r="AN30" s="127">
        <v>26530156.900000021</v>
      </c>
      <c r="AO30" s="634"/>
      <c r="AP30" s="167">
        <f t="shared" si="25"/>
        <v>-0.36676874242455404</v>
      </c>
      <c r="AQ30" s="677"/>
      <c r="AR30" s="127">
        <v>35901396.980000027</v>
      </c>
      <c r="AS30" s="634"/>
      <c r="AT30" s="127">
        <v>29581649.130000032</v>
      </c>
      <c r="AU30" s="634"/>
      <c r="AV30" s="167">
        <f t="shared" si="26"/>
        <v>-0.17603069466964205</v>
      </c>
      <c r="AW30" s="677"/>
      <c r="AX30" s="127">
        <v>23676114.659999989</v>
      </c>
      <c r="AY30" s="634"/>
      <c r="AZ30" s="127">
        <v>25817204.230000038</v>
      </c>
      <c r="BA30" s="634"/>
      <c r="BB30" s="167">
        <f t="shared" si="27"/>
        <v>9.043247174408009E-2</v>
      </c>
      <c r="BC30" s="677"/>
      <c r="BD30" s="127">
        <v>7928494.6700000018</v>
      </c>
      <c r="BE30" s="634"/>
      <c r="BF30" s="127">
        <v>9147484.5500000007</v>
      </c>
      <c r="BG30" s="634"/>
      <c r="BH30" s="167">
        <f t="shared" si="28"/>
        <v>0.1537479598255187</v>
      </c>
      <c r="BI30" s="677"/>
      <c r="BJ30" s="127">
        <v>16003471.310000001</v>
      </c>
      <c r="BK30" s="634"/>
      <c r="BL30" s="127">
        <v>11071625.980000008</v>
      </c>
      <c r="BM30" s="634"/>
      <c r="BN30" s="167">
        <f t="shared" si="29"/>
        <v>-0.30817347277138918</v>
      </c>
      <c r="BO30" s="677"/>
      <c r="BP30" s="127">
        <v>15311331.550000004</v>
      </c>
      <c r="BQ30" s="634"/>
      <c r="BR30" s="127">
        <v>6789622.9900000039</v>
      </c>
      <c r="BS30" s="634"/>
      <c r="BT30" s="167">
        <f t="shared" si="30"/>
        <v>-0.55656221225253255</v>
      </c>
      <c r="BU30" s="677"/>
      <c r="BV30" s="127">
        <v>7859242.6200000001</v>
      </c>
      <c r="BW30" s="634"/>
      <c r="BX30" s="127">
        <v>6688746.0100000137</v>
      </c>
      <c r="BY30" s="62"/>
      <c r="BZ30" s="678">
        <f t="shared" si="31"/>
        <v>-0.14893249471919046</v>
      </c>
      <c r="CA30" s="588"/>
      <c r="CD30" s="615"/>
      <c r="CE30" s="615">
        <f t="shared" si="32"/>
        <v>0</v>
      </c>
      <c r="CF30" s="615"/>
      <c r="CG30" s="615">
        <f t="shared" si="33"/>
        <v>0</v>
      </c>
      <c r="CH30" s="615">
        <v>0</v>
      </c>
      <c r="CI30" s="615"/>
      <c r="CJ30" s="616"/>
      <c r="CK30" s="616"/>
      <c r="CL30" s="616"/>
      <c r="CM30" s="616"/>
      <c r="CN30" s="616"/>
      <c r="CO30" s="616"/>
      <c r="CP30" s="616"/>
      <c r="CQ30" s="616"/>
      <c r="CR30" s="616"/>
      <c r="CS30" s="616"/>
    </row>
    <row r="31" spans="1:98" ht="14.25">
      <c r="A31" s="1612"/>
      <c r="B31" s="1612"/>
      <c r="C31" s="285">
        <v>14.3</v>
      </c>
      <c r="D31" s="638" t="s">
        <v>1432</v>
      </c>
      <c r="E31" s="490" t="s">
        <v>259</v>
      </c>
      <c r="F31" s="275"/>
      <c r="G31" s="260"/>
      <c r="H31" s="275"/>
      <c r="I31" s="282"/>
      <c r="J31" s="601">
        <f t="shared" si="20"/>
        <v>7701567.0779999988</v>
      </c>
      <c r="K31" s="599"/>
      <c r="L31" s="601">
        <f t="shared" si="21"/>
        <v>8551356.7489999998</v>
      </c>
      <c r="M31" s="597"/>
      <c r="N31" s="579">
        <f t="shared" si="14"/>
        <v>0</v>
      </c>
      <c r="O31" s="598">
        <f t="shared" si="1"/>
        <v>0</v>
      </c>
      <c r="P31" s="597">
        <f t="shared" si="15"/>
        <v>0</v>
      </c>
      <c r="Q31" s="977">
        <f t="shared" si="16"/>
        <v>0</v>
      </c>
      <c r="R31" s="978">
        <f t="shared" si="17"/>
        <v>0</v>
      </c>
      <c r="S31" s="677"/>
      <c r="T31" s="127">
        <v>4653109.1000000006</v>
      </c>
      <c r="U31" s="62"/>
      <c r="V31" s="127">
        <v>2848489.7699999996</v>
      </c>
      <c r="W31" s="1053"/>
      <c r="X31" s="167">
        <f t="shared" si="22"/>
        <v>-0.38783086560338775</v>
      </c>
      <c r="Y31" s="677"/>
      <c r="Z31" s="127">
        <v>10730647.709999997</v>
      </c>
      <c r="AA31" s="634"/>
      <c r="AB31" s="127">
        <v>16542445.109999998</v>
      </c>
      <c r="AC31" s="997"/>
      <c r="AD31" s="167">
        <f t="shared" si="23"/>
        <v>0.54160732483873542</v>
      </c>
      <c r="AE31" s="677"/>
      <c r="AF31" s="127">
        <v>15006933.749999996</v>
      </c>
      <c r="AG31" s="634"/>
      <c r="AH31" s="127">
        <v>13497077.709999995</v>
      </c>
      <c r="AI31" s="634"/>
      <c r="AJ31" s="167">
        <f t="shared" si="24"/>
        <v>-0.10061056210100228</v>
      </c>
      <c r="AK31" s="677"/>
      <c r="AL31" s="127">
        <v>3303661.21</v>
      </c>
      <c r="AM31" s="634"/>
      <c r="AN31" s="127">
        <v>7367020.290000001</v>
      </c>
      <c r="AO31" s="634"/>
      <c r="AP31" s="167">
        <f t="shared" si="25"/>
        <v>1.2299563489441465</v>
      </c>
      <c r="AQ31" s="677"/>
      <c r="AR31" s="127">
        <v>10887693.100000001</v>
      </c>
      <c r="AS31" s="634"/>
      <c r="AT31" s="127">
        <v>13324730.799999999</v>
      </c>
      <c r="AU31" s="634"/>
      <c r="AV31" s="167">
        <f t="shared" si="26"/>
        <v>0.22383416556809421</v>
      </c>
      <c r="AW31" s="677"/>
      <c r="AX31" s="127">
        <v>10430426.1</v>
      </c>
      <c r="AY31" s="634"/>
      <c r="AZ31" s="127">
        <v>11898020.020000003</v>
      </c>
      <c r="BA31" s="634"/>
      <c r="BB31" s="167">
        <f t="shared" si="27"/>
        <v>0.14070316072705835</v>
      </c>
      <c r="BC31" s="677"/>
      <c r="BD31" s="127">
        <v>3778178.9499999993</v>
      </c>
      <c r="BE31" s="634"/>
      <c r="BF31" s="127">
        <v>4049668.7299999995</v>
      </c>
      <c r="BG31" s="634"/>
      <c r="BH31" s="167">
        <f t="shared" si="28"/>
        <v>7.1857311046635397E-2</v>
      </c>
      <c r="BI31" s="677"/>
      <c r="BJ31" s="127">
        <v>12858995.470000004</v>
      </c>
      <c r="BK31" s="634"/>
      <c r="BL31" s="127">
        <v>11039897.740000002</v>
      </c>
      <c r="BM31" s="634"/>
      <c r="BN31" s="167">
        <f t="shared" si="29"/>
        <v>-0.14146499501022081</v>
      </c>
      <c r="BO31" s="677"/>
      <c r="BP31" s="127">
        <v>2903708.55</v>
      </c>
      <c r="BQ31" s="634"/>
      <c r="BR31" s="127">
        <v>2599798.6999999997</v>
      </c>
      <c r="BS31" s="634"/>
      <c r="BT31" s="167">
        <f t="shared" si="30"/>
        <v>-0.10466265631239058</v>
      </c>
      <c r="BU31" s="677"/>
      <c r="BV31" s="127">
        <v>2462316.84</v>
      </c>
      <c r="BW31" s="634"/>
      <c r="BX31" s="127">
        <v>2346418.62</v>
      </c>
      <c r="BY31" s="62"/>
      <c r="BZ31" s="678">
        <f t="shared" si="31"/>
        <v>-4.7068767965701697E-2</v>
      </c>
      <c r="CA31" s="588"/>
      <c r="CD31" s="615"/>
      <c r="CE31" s="615">
        <f t="shared" si="32"/>
        <v>0</v>
      </c>
      <c r="CF31" s="615"/>
      <c r="CG31" s="615">
        <f t="shared" si="33"/>
        <v>0</v>
      </c>
      <c r="CH31" s="615">
        <v>0</v>
      </c>
      <c r="CI31" s="615"/>
      <c r="CJ31" s="616"/>
      <c r="CK31" s="616"/>
      <c r="CL31" s="616"/>
      <c r="CM31" s="616"/>
      <c r="CN31" s="616"/>
      <c r="CO31" s="616"/>
      <c r="CP31" s="616"/>
      <c r="CQ31" s="616"/>
      <c r="CR31" s="616"/>
      <c r="CS31" s="616"/>
    </row>
    <row r="32" spans="1:98" ht="14.25" customHeight="1">
      <c r="A32" s="1633" t="s">
        <v>1434</v>
      </c>
      <c r="B32" s="1633" t="s">
        <v>1435</v>
      </c>
      <c r="C32" s="284">
        <v>15</v>
      </c>
      <c r="D32" s="1026" t="s">
        <v>1433</v>
      </c>
      <c r="E32" s="485"/>
      <c r="F32" s="275"/>
      <c r="G32" s="260" t="s">
        <v>486</v>
      </c>
      <c r="H32" s="275" t="s">
        <v>287</v>
      </c>
      <c r="I32" s="635">
        <v>3</v>
      </c>
      <c r="J32" s="1038">
        <f>AVERAGE(BV32,BP32,BJ32,BD32,AX32,AR32,AL32,AF32,Z32,T32)</f>
        <v>6.8582544540455134E-2</v>
      </c>
      <c r="K32" s="599">
        <f>AVERAGE(BW32,BQ32,BK32,BE32,AY32,AS32,AM32,AG32,AA32,U32)</f>
        <v>2.4</v>
      </c>
      <c r="L32" s="1038">
        <f t="shared" si="21"/>
        <v>6.6289496282082735E-2</v>
      </c>
      <c r="M32" s="597">
        <f>AVERAGE(BY32,BS32,BM32,BG32,BA32,AU32,AO32,AI32,AC32,W32)</f>
        <v>2.7</v>
      </c>
      <c r="N32" s="579">
        <f t="shared" si="14"/>
        <v>0.30000000000000027</v>
      </c>
      <c r="O32" s="598">
        <f t="shared" si="1"/>
        <v>0.29999999999999982</v>
      </c>
      <c r="P32" s="597">
        <f t="shared" si="15"/>
        <v>0.11999999999999994</v>
      </c>
      <c r="Q32" s="977">
        <f t="shared" si="16"/>
        <v>1.3333333333333327E-2</v>
      </c>
      <c r="R32" s="978">
        <f t="shared" si="17"/>
        <v>6.6666666666666636E-3</v>
      </c>
      <c r="S32" s="677"/>
      <c r="T32" s="283">
        <f>IF(T34=0,"&lt;不适用&gt;",T33/T34)</f>
        <v>0.53080017800300217</v>
      </c>
      <c r="U32" s="631">
        <f>IF(T32&lt;=0.03,3,IF(T32&lt;=0.05,1,0))</f>
        <v>0</v>
      </c>
      <c r="V32" s="283">
        <f>IF(V34=0,"&lt;不适用&gt;",V33/V34)</f>
        <v>0.46402647397457913</v>
      </c>
      <c r="W32" s="1053">
        <f>IF(V32&lt;=0.03,3,IF(V32&lt;=0.05,1,0))</f>
        <v>0</v>
      </c>
      <c r="X32" s="167">
        <f t="shared" si="22"/>
        <v>-0.12579819449127116</v>
      </c>
      <c r="Y32" s="677"/>
      <c r="Z32" s="283">
        <f>IF(Z34=0,"&lt;不适用&gt;",Z33/Z34)</f>
        <v>8.6246740747306747E-2</v>
      </c>
      <c r="AA32" s="634">
        <f>IF(Z32&lt;=0.03,3,IF(Z32&lt;=0.05,1,0))</f>
        <v>0</v>
      </c>
      <c r="AB32" s="283">
        <f>IF(AB34=0,"&lt;不适用&gt;",AB33/AB34)</f>
        <v>0</v>
      </c>
      <c r="AC32" s="997">
        <f>IF(AB32&lt;=0.03,3,IF(AB32&lt;=0.05,1,0))</f>
        <v>3</v>
      </c>
      <c r="AD32" s="167">
        <f t="shared" si="23"/>
        <v>-1</v>
      </c>
      <c r="AE32" s="677"/>
      <c r="AF32" s="283">
        <f>IF(AF34=0,"&lt;不适用&gt;",AF33/AF34)</f>
        <v>0</v>
      </c>
      <c r="AG32" s="634">
        <f>IF(AF32&lt;=0.03,3,IF(AF32&lt;=0.05,1,0))</f>
        <v>3</v>
      </c>
      <c r="AH32" s="283" t="str">
        <f>IF(AH34=0,"&lt;不适用&gt;",AH33/AH34)</f>
        <v>&lt;不适用&gt;</v>
      </c>
      <c r="AI32" s="634">
        <v>3</v>
      </c>
      <c r="AJ32" s="167">
        <f t="shared" si="24"/>
        <v>1</v>
      </c>
      <c r="AK32" s="677"/>
      <c r="AL32" s="283">
        <f>IF(AL34=0,"&lt;不适用&gt;",AL33/AL34)</f>
        <v>0</v>
      </c>
      <c r="AM32" s="634">
        <f>IF(AL32&lt;=0.03,3,IF(AL32&lt;=0.05,1,0))</f>
        <v>3</v>
      </c>
      <c r="AN32" s="283">
        <f>IF(AN34=0,"&lt;不适用&gt;",AN33/AN34)</f>
        <v>0</v>
      </c>
      <c r="AO32" s="634">
        <f>IF(AN32&lt;=0.03,3,IF(AN32&lt;=0.05,1,0))</f>
        <v>3</v>
      </c>
      <c r="AP32" s="167">
        <f t="shared" si="25"/>
        <v>0</v>
      </c>
      <c r="AQ32" s="677"/>
      <c r="AR32" s="283">
        <f>IF(AR34=0,"&lt;不适用&gt;",AR33/AR34)</f>
        <v>1.9598211378721528E-4</v>
      </c>
      <c r="AS32" s="634">
        <f>IF(AR32&lt;=0.03,3,IF(AR32&lt;=0.05,1,0))</f>
        <v>3</v>
      </c>
      <c r="AT32" s="283">
        <f>IF(AT34=0,"&lt;不适用&gt;",AT33/AT34)</f>
        <v>0</v>
      </c>
      <c r="AU32" s="634">
        <f>IF(AT32&lt;=0.03,3,IF(AT32&lt;=0.05,1,0))</f>
        <v>3</v>
      </c>
      <c r="AV32" s="167">
        <f t="shared" si="26"/>
        <v>-1</v>
      </c>
      <c r="AW32" s="677"/>
      <c r="AX32" s="283">
        <f>IF(AX34=0,"&lt;不适用&gt;",AX33/AX34)</f>
        <v>0</v>
      </c>
      <c r="AY32" s="634">
        <f>IF(AX32&lt;=0.03,3,IF(AX32&lt;=0.05,1,0))</f>
        <v>3</v>
      </c>
      <c r="AZ32" s="283">
        <f>IF(AZ34=0,"&lt;不适用&gt;",AZ33/AZ34)</f>
        <v>0</v>
      </c>
      <c r="BA32" s="634">
        <f>IF(AZ32&lt;=0.03,3,IF(AZ32&lt;=0.05,1,0))</f>
        <v>3</v>
      </c>
      <c r="BB32" s="167">
        <f t="shared" si="27"/>
        <v>0</v>
      </c>
      <c r="BC32" s="677"/>
      <c r="BD32" s="283">
        <f>IF(BD34=0,"&lt;不适用&gt;",BD33/BD34)</f>
        <v>0</v>
      </c>
      <c r="BE32" s="634">
        <f>IF(BD32&lt;=0.03,3,IF(BD32&lt;=0.05,1,0))</f>
        <v>3</v>
      </c>
      <c r="BF32" s="283">
        <f>IF(BF34=0,"&lt;不适用&gt;",BF33/BF34)</f>
        <v>0</v>
      </c>
      <c r="BG32" s="634">
        <f>IF(BF32&lt;=0.03,3,IF(BF32&lt;=0.05,1,0))</f>
        <v>3</v>
      </c>
      <c r="BH32" s="167">
        <f t="shared" si="28"/>
        <v>0</v>
      </c>
      <c r="BI32" s="677"/>
      <c r="BJ32" s="283">
        <f>IF(BJ34=0,"&lt;不适用&gt;",BJ33/BJ34)</f>
        <v>0</v>
      </c>
      <c r="BK32" s="634">
        <f>IF(BJ32&lt;=0.03,3,IF(BJ32&lt;=0.05,1,0))</f>
        <v>3</v>
      </c>
      <c r="BL32" s="283" t="str">
        <f>IF(BL34=0,"&lt;不适用&gt;",BL33/BL34)</f>
        <v>&lt;不适用&gt;</v>
      </c>
      <c r="BM32" s="634">
        <v>3</v>
      </c>
      <c r="BN32" s="167">
        <f t="shared" si="29"/>
        <v>1</v>
      </c>
      <c r="BO32" s="677"/>
      <c r="BP32" s="283" t="str">
        <f>IF(BP34=0,"&lt;不适用&gt;",BP33/BP34)</f>
        <v>&lt;不适用&gt;</v>
      </c>
      <c r="BQ32" s="634">
        <v>3</v>
      </c>
      <c r="BR32" s="283" t="str">
        <f>IF(BR34=0,"&lt;不适用&gt;",BR33/BR34)</f>
        <v>&lt;不适用&gt;</v>
      </c>
      <c r="BS32" s="634">
        <v>3</v>
      </c>
      <c r="BT32" s="167" t="e">
        <f t="shared" si="30"/>
        <v>#VALUE!</v>
      </c>
      <c r="BU32" s="677"/>
      <c r="BV32" s="283">
        <f>IF(BV34=0,"&lt;不适用&gt;",BV33/BV34)</f>
        <v>0</v>
      </c>
      <c r="BW32" s="634">
        <f>IF(BV32&lt;=0.03,3,IF(BV32&lt;=0.05,1,0))</f>
        <v>3</v>
      </c>
      <c r="BX32" s="283">
        <f>IF(BX34=0,"&lt;不适用&gt;",BX33/BX34)</f>
        <v>0</v>
      </c>
      <c r="BY32" s="631">
        <f>IF(BX32&lt;=0.03,3,IF(BX32&lt;=0.05,1,0))</f>
        <v>3</v>
      </c>
      <c r="BZ32" s="678">
        <f t="shared" si="31"/>
        <v>0</v>
      </c>
      <c r="CD32" s="615"/>
      <c r="CE32" s="615">
        <f t="shared" si="32"/>
        <v>2.7</v>
      </c>
      <c r="CF32" s="615">
        <v>0.5</v>
      </c>
      <c r="CG32" s="615">
        <f t="shared" si="33"/>
        <v>2.7</v>
      </c>
      <c r="CH32" s="615">
        <v>0</v>
      </c>
      <c r="CI32" s="615"/>
      <c r="CJ32" s="616"/>
      <c r="CK32" s="616"/>
      <c r="CL32" s="616">
        <v>1</v>
      </c>
      <c r="CM32" s="617">
        <f>$M32</f>
        <v>2.7</v>
      </c>
      <c r="CN32" s="616"/>
      <c r="CO32" s="616"/>
      <c r="CP32" s="616"/>
      <c r="CQ32" s="616"/>
      <c r="CR32" s="616"/>
      <c r="CS32" s="616"/>
    </row>
    <row r="33" spans="1:99" ht="16.5" customHeight="1">
      <c r="A33" s="1626"/>
      <c r="B33" s="1626"/>
      <c r="C33" s="285">
        <v>15.1</v>
      </c>
      <c r="D33" s="638" t="s">
        <v>1436</v>
      </c>
      <c r="E33" s="490" t="s">
        <v>259</v>
      </c>
      <c r="F33" s="275"/>
      <c r="G33" s="260"/>
      <c r="H33" s="275"/>
      <c r="I33" s="282"/>
      <c r="J33" s="601">
        <f t="shared" si="20"/>
        <v>53476.146999999997</v>
      </c>
      <c r="K33" s="599"/>
      <c r="L33" s="601">
        <f t="shared" si="21"/>
        <v>54139.255000000005</v>
      </c>
      <c r="M33" s="597"/>
      <c r="N33" s="579">
        <f t="shared" si="14"/>
        <v>0</v>
      </c>
      <c r="O33" s="598">
        <f t="shared" si="1"/>
        <v>0</v>
      </c>
      <c r="P33" s="597">
        <f t="shared" si="15"/>
        <v>0</v>
      </c>
      <c r="Q33" s="977">
        <f t="shared" si="16"/>
        <v>0</v>
      </c>
      <c r="R33" s="978">
        <f t="shared" si="17"/>
        <v>0</v>
      </c>
      <c r="S33" s="677"/>
      <c r="T33" s="434">
        <v>513388.43</v>
      </c>
      <c r="U33" s="596"/>
      <c r="V33" s="434">
        <v>541392.55000000005</v>
      </c>
      <c r="W33" s="1005"/>
      <c r="X33" s="167">
        <f t="shared" si="22"/>
        <v>5.4547625859040272E-2</v>
      </c>
      <c r="Y33" s="677"/>
      <c r="Z33" s="127">
        <v>21366.84</v>
      </c>
      <c r="AA33" s="127"/>
      <c r="AB33" s="127">
        <v>0</v>
      </c>
      <c r="AC33" s="1006"/>
      <c r="AD33" s="167">
        <f t="shared" si="23"/>
        <v>-1</v>
      </c>
      <c r="AE33" s="677"/>
      <c r="AF33" s="434">
        <v>0</v>
      </c>
      <c r="AG33" s="434"/>
      <c r="AH33" s="434">
        <v>0</v>
      </c>
      <c r="AI33" s="434"/>
      <c r="AJ33" s="167">
        <f t="shared" si="24"/>
        <v>0</v>
      </c>
      <c r="AK33" s="677"/>
      <c r="AL33" s="127">
        <v>0</v>
      </c>
      <c r="AM33" s="127"/>
      <c r="AN33" s="127">
        <v>0</v>
      </c>
      <c r="AO33" s="127"/>
      <c r="AP33" s="167">
        <f t="shared" si="25"/>
        <v>0</v>
      </c>
      <c r="AQ33" s="677"/>
      <c r="AR33" s="434">
        <v>6.2</v>
      </c>
      <c r="AS33" s="434"/>
      <c r="AT33" s="434">
        <v>0</v>
      </c>
      <c r="AU33" s="434"/>
      <c r="AV33" s="167">
        <f t="shared" si="26"/>
        <v>-1</v>
      </c>
      <c r="AW33" s="677"/>
      <c r="AX33" s="127">
        <v>0</v>
      </c>
      <c r="AY33" s="127"/>
      <c r="AZ33" s="127">
        <v>0</v>
      </c>
      <c r="BA33" s="127"/>
      <c r="BB33" s="167">
        <f t="shared" si="27"/>
        <v>0</v>
      </c>
      <c r="BC33" s="677"/>
      <c r="BD33" s="434">
        <v>0</v>
      </c>
      <c r="BE33" s="434"/>
      <c r="BF33" s="434">
        <v>0</v>
      </c>
      <c r="BG33" s="434"/>
      <c r="BH33" s="167">
        <f t="shared" si="28"/>
        <v>0</v>
      </c>
      <c r="BI33" s="677"/>
      <c r="BJ33" s="127">
        <v>0</v>
      </c>
      <c r="BK33" s="127"/>
      <c r="BL33" s="127">
        <v>0</v>
      </c>
      <c r="BM33" s="127"/>
      <c r="BN33" s="167">
        <f t="shared" si="29"/>
        <v>0</v>
      </c>
      <c r="BO33" s="677"/>
      <c r="BP33" s="434">
        <v>0</v>
      </c>
      <c r="BQ33" s="434"/>
      <c r="BR33" s="434">
        <v>0</v>
      </c>
      <c r="BS33" s="434"/>
      <c r="BT33" s="167">
        <f t="shared" si="30"/>
        <v>0</v>
      </c>
      <c r="BU33" s="677"/>
      <c r="BV33" s="127">
        <v>0</v>
      </c>
      <c r="BW33" s="127"/>
      <c r="BX33" s="127">
        <v>0</v>
      </c>
      <c r="BY33" s="589"/>
      <c r="BZ33" s="678">
        <f t="shared" si="31"/>
        <v>0</v>
      </c>
      <c r="CD33" s="615"/>
      <c r="CE33" s="615">
        <f t="shared" si="32"/>
        <v>0</v>
      </c>
      <c r="CF33" s="615"/>
      <c r="CG33" s="615">
        <f t="shared" si="33"/>
        <v>0</v>
      </c>
      <c r="CH33" s="615">
        <v>0</v>
      </c>
      <c r="CI33" s="615"/>
      <c r="CJ33" s="616"/>
      <c r="CK33" s="616"/>
      <c r="CL33" s="616"/>
      <c r="CM33" s="616"/>
      <c r="CN33" s="616"/>
      <c r="CO33" s="616"/>
      <c r="CP33" s="616"/>
      <c r="CQ33" s="616"/>
      <c r="CR33" s="616"/>
      <c r="CS33" s="616"/>
    </row>
    <row r="34" spans="1:99" ht="15" customHeight="1">
      <c r="A34" s="1612"/>
      <c r="B34" s="1612"/>
      <c r="C34" s="285">
        <v>15.2</v>
      </c>
      <c r="D34" s="638" t="s">
        <v>2078</v>
      </c>
      <c r="E34" s="490" t="s">
        <v>259</v>
      </c>
      <c r="F34" s="275"/>
      <c r="G34" s="260"/>
      <c r="H34" s="275"/>
      <c r="I34" s="282"/>
      <c r="J34" s="601">
        <f t="shared" si="20"/>
        <v>165592.72899999999</v>
      </c>
      <c r="K34" s="599"/>
      <c r="L34" s="601">
        <f t="shared" si="21"/>
        <v>205294.72899999999</v>
      </c>
      <c r="M34" s="597"/>
      <c r="N34" s="579">
        <f t="shared" si="14"/>
        <v>0</v>
      </c>
      <c r="O34" s="598">
        <f t="shared" si="1"/>
        <v>0</v>
      </c>
      <c r="P34" s="597">
        <f t="shared" si="15"/>
        <v>0</v>
      </c>
      <c r="Q34" s="977">
        <f t="shared" si="16"/>
        <v>0</v>
      </c>
      <c r="R34" s="978">
        <f t="shared" si="17"/>
        <v>0</v>
      </c>
      <c r="S34" s="677"/>
      <c r="T34" s="434">
        <v>967197.17000000016</v>
      </c>
      <c r="U34" s="596"/>
      <c r="V34" s="434">
        <v>1166727.72</v>
      </c>
      <c r="W34" s="1005"/>
      <c r="X34" s="167">
        <f t="shared" si="22"/>
        <v>0.20629769832763234</v>
      </c>
      <c r="Y34" s="677"/>
      <c r="Z34" s="127">
        <v>247740.84</v>
      </c>
      <c r="AA34" s="127"/>
      <c r="AB34" s="127">
        <v>340422.33999999997</v>
      </c>
      <c r="AC34" s="1006"/>
      <c r="AD34" s="167">
        <f t="shared" si="23"/>
        <v>0.37410666727375252</v>
      </c>
      <c r="AE34" s="677"/>
      <c r="AF34" s="434">
        <v>7744.36</v>
      </c>
      <c r="AG34" s="434"/>
      <c r="AH34" s="434">
        <v>0</v>
      </c>
      <c r="AI34" s="434"/>
      <c r="AJ34" s="167">
        <f t="shared" si="24"/>
        <v>-1</v>
      </c>
      <c r="AK34" s="677"/>
      <c r="AL34" s="127">
        <v>622.20000000000005</v>
      </c>
      <c r="AM34" s="127"/>
      <c r="AN34" s="127">
        <v>622.20000000000005</v>
      </c>
      <c r="AO34" s="127"/>
      <c r="AP34" s="167">
        <f t="shared" si="25"/>
        <v>0</v>
      </c>
      <c r="AQ34" s="677"/>
      <c r="AR34" s="434">
        <v>31635.539999999997</v>
      </c>
      <c r="AS34" s="434"/>
      <c r="AT34" s="434">
        <v>38701.03</v>
      </c>
      <c r="AU34" s="434"/>
      <c r="AV34" s="167">
        <f t="shared" si="26"/>
        <v>0.22334026857135991</v>
      </c>
      <c r="AW34" s="677"/>
      <c r="AX34" s="714">
        <v>58050.7</v>
      </c>
      <c r="AY34" s="127"/>
      <c r="AZ34" s="714">
        <v>120024.62</v>
      </c>
      <c r="BA34" s="127"/>
      <c r="BB34" s="167">
        <f t="shared" si="27"/>
        <v>1.0675826475821997</v>
      </c>
      <c r="BC34" s="677"/>
      <c r="BD34" s="434">
        <v>162000.19</v>
      </c>
      <c r="BE34" s="434"/>
      <c r="BF34" s="434">
        <v>239465.51</v>
      </c>
      <c r="BG34" s="434"/>
      <c r="BH34" s="167">
        <f t="shared" si="28"/>
        <v>0.47818042682542528</v>
      </c>
      <c r="BI34" s="677"/>
      <c r="BJ34" s="127">
        <v>8300.56</v>
      </c>
      <c r="BK34" s="127"/>
      <c r="BL34" s="127">
        <v>0</v>
      </c>
      <c r="BM34" s="127"/>
      <c r="BN34" s="167">
        <f t="shared" si="29"/>
        <v>-1</v>
      </c>
      <c r="BO34" s="677"/>
      <c r="BP34" s="434">
        <v>0</v>
      </c>
      <c r="BQ34" s="434"/>
      <c r="BR34" s="434">
        <v>0</v>
      </c>
      <c r="BS34" s="434"/>
      <c r="BT34" s="167">
        <f t="shared" si="30"/>
        <v>0</v>
      </c>
      <c r="BU34" s="677"/>
      <c r="BV34" s="127">
        <v>172635.73000000004</v>
      </c>
      <c r="BW34" s="127"/>
      <c r="BX34" s="127">
        <v>146983.87</v>
      </c>
      <c r="BY34" s="589"/>
      <c r="BZ34" s="678">
        <f t="shared" si="31"/>
        <v>-0.14858951851971802</v>
      </c>
      <c r="CD34" s="615"/>
      <c r="CE34" s="615">
        <f t="shared" si="32"/>
        <v>0</v>
      </c>
      <c r="CF34" s="615"/>
      <c r="CG34" s="615">
        <f t="shared" si="33"/>
        <v>0</v>
      </c>
      <c r="CH34" s="615">
        <v>0</v>
      </c>
      <c r="CI34" s="615"/>
      <c r="CJ34" s="616"/>
      <c r="CK34" s="616"/>
      <c r="CL34" s="616"/>
      <c r="CM34" s="616"/>
      <c r="CN34" s="616"/>
      <c r="CO34" s="616"/>
      <c r="CP34" s="616"/>
      <c r="CQ34" s="616"/>
      <c r="CR34" s="616"/>
      <c r="CS34" s="616"/>
    </row>
    <row r="35" spans="1:99" ht="15" customHeight="1">
      <c r="A35" s="1633" t="s">
        <v>1437</v>
      </c>
      <c r="B35" s="1633" t="s">
        <v>1438</v>
      </c>
      <c r="C35" s="284">
        <v>16</v>
      </c>
      <c r="D35" s="79" t="s">
        <v>2037</v>
      </c>
      <c r="E35" s="490" t="s">
        <v>259</v>
      </c>
      <c r="F35" s="275"/>
      <c r="G35" s="260" t="s">
        <v>490</v>
      </c>
      <c r="H35" s="275" t="s">
        <v>287</v>
      </c>
      <c r="I35" s="1628">
        <v>10</v>
      </c>
      <c r="J35" s="599">
        <f t="shared" si="20"/>
        <v>0</v>
      </c>
      <c r="K35" s="1636">
        <f>AVERAGE(BW35,BQ35,BK35,BE35,AY35,AS35,AM35,AG35,AA35,U35)</f>
        <v>9.9499999999999993</v>
      </c>
      <c r="L35" s="599">
        <f t="shared" si="21"/>
        <v>0</v>
      </c>
      <c r="M35" s="1636">
        <f>AVERAGE(BY35,BS35,BM35,BG35,BA35,AU35,AO35,AI35,AC35,W35)</f>
        <v>9.9499999999999993</v>
      </c>
      <c r="N35" s="617">
        <f t="shared" si="14"/>
        <v>0</v>
      </c>
      <c r="O35" s="598">
        <f t="shared" si="1"/>
        <v>5.0000000000000711E-2</v>
      </c>
      <c r="P35" s="597">
        <f t="shared" si="15"/>
        <v>2.0000000000000285E-2</v>
      </c>
      <c r="Q35" s="977">
        <f t="shared" si="16"/>
        <v>2.2222222222222539E-3</v>
      </c>
      <c r="R35" s="978">
        <f t="shared" si="17"/>
        <v>1.1111111111111269E-3</v>
      </c>
      <c r="S35" s="677"/>
      <c r="T35" s="634">
        <v>0</v>
      </c>
      <c r="U35" s="1583">
        <f>10-3*T35-0.5*T36</f>
        <v>10</v>
      </c>
      <c r="V35" s="634">
        <v>0</v>
      </c>
      <c r="W35" s="1583">
        <f>10-V35*3-V36*0.5</f>
        <v>10</v>
      </c>
      <c r="X35" s="167">
        <f t="shared" si="22"/>
        <v>0</v>
      </c>
      <c r="Y35" s="677"/>
      <c r="Z35" s="634">
        <v>0</v>
      </c>
      <c r="AA35" s="1625">
        <f>10-3*Z35-0.5*Z36</f>
        <v>9.5</v>
      </c>
      <c r="AB35" s="634">
        <v>0</v>
      </c>
      <c r="AC35" s="1646">
        <f>10-AB35*3-AB36*0.5</f>
        <v>9.5</v>
      </c>
      <c r="AD35" s="167">
        <f t="shared" si="23"/>
        <v>0</v>
      </c>
      <c r="AE35" s="677"/>
      <c r="AF35" s="634">
        <v>0</v>
      </c>
      <c r="AG35" s="1625">
        <f>10-3*AF35-0.5*AF36</f>
        <v>10</v>
      </c>
      <c r="AH35" s="634">
        <v>0</v>
      </c>
      <c r="AI35" s="1625">
        <f>10-AH35*3-AH36*0.5</f>
        <v>10</v>
      </c>
      <c r="AJ35" s="167">
        <f t="shared" si="24"/>
        <v>0</v>
      </c>
      <c r="AK35" s="677"/>
      <c r="AL35" s="634">
        <v>0</v>
      </c>
      <c r="AM35" s="1625">
        <f>10-3*AL35-0.5*AL36</f>
        <v>10</v>
      </c>
      <c r="AN35" s="634">
        <v>0</v>
      </c>
      <c r="AO35" s="1625">
        <f>10-AN35*3-AN36*0.5</f>
        <v>10</v>
      </c>
      <c r="AP35" s="167">
        <f t="shared" si="25"/>
        <v>0</v>
      </c>
      <c r="AQ35" s="677"/>
      <c r="AR35" s="634">
        <v>0</v>
      </c>
      <c r="AS35" s="1625">
        <f>10-3*AR35-0.5*AR36</f>
        <v>10</v>
      </c>
      <c r="AT35" s="634">
        <v>0</v>
      </c>
      <c r="AU35" s="1625">
        <f>10-AT35*3-AT36*0.5</f>
        <v>10</v>
      </c>
      <c r="AV35" s="167">
        <f t="shared" si="26"/>
        <v>0</v>
      </c>
      <c r="AW35" s="677"/>
      <c r="AX35" s="634">
        <v>0</v>
      </c>
      <c r="AY35" s="1625">
        <f>10-3*AX35-0.5*AX36</f>
        <v>10</v>
      </c>
      <c r="AZ35" s="634">
        <v>0</v>
      </c>
      <c r="BA35" s="1625">
        <f>10-AZ35*3-AZ36*0.5</f>
        <v>10</v>
      </c>
      <c r="BB35" s="167">
        <f t="shared" si="27"/>
        <v>0</v>
      </c>
      <c r="BC35" s="677"/>
      <c r="BD35" s="634">
        <v>0</v>
      </c>
      <c r="BE35" s="1625">
        <f>10-3*BD35-0.5*BD36</f>
        <v>10</v>
      </c>
      <c r="BF35" s="634">
        <v>0</v>
      </c>
      <c r="BG35" s="1625">
        <f>10-BF35*3-BF36*0.5</f>
        <v>10</v>
      </c>
      <c r="BH35" s="167">
        <f t="shared" si="28"/>
        <v>0</v>
      </c>
      <c r="BI35" s="677"/>
      <c r="BJ35" s="634">
        <v>0</v>
      </c>
      <c r="BK35" s="1625">
        <f>10-3*BJ35-0.5*BJ36</f>
        <v>10</v>
      </c>
      <c r="BL35" s="634">
        <v>0</v>
      </c>
      <c r="BM35" s="1625">
        <f>10-BL35*3-BL36*0.5</f>
        <v>10</v>
      </c>
      <c r="BN35" s="167">
        <f t="shared" si="29"/>
        <v>0</v>
      </c>
      <c r="BO35" s="677"/>
      <c r="BP35" s="634">
        <v>0</v>
      </c>
      <c r="BQ35" s="1625">
        <f>10-3*BP35-0.5*BP36</f>
        <v>10</v>
      </c>
      <c r="BR35" s="634">
        <v>0</v>
      </c>
      <c r="BS35" s="1625">
        <f>10-BR35*3-BR36*0.5</f>
        <v>10</v>
      </c>
      <c r="BT35" s="167">
        <f t="shared" si="30"/>
        <v>0</v>
      </c>
      <c r="BU35" s="677"/>
      <c r="BV35" s="634">
        <v>0</v>
      </c>
      <c r="BW35" s="1625">
        <f>10-3*BV35-0.5*BV36</f>
        <v>10</v>
      </c>
      <c r="BX35" s="634">
        <v>0</v>
      </c>
      <c r="BY35" s="1583">
        <f>10-BX35*3-BX36*0.5</f>
        <v>10</v>
      </c>
      <c r="BZ35" s="678">
        <f t="shared" si="31"/>
        <v>0</v>
      </c>
      <c r="CD35" s="615">
        <v>1</v>
      </c>
      <c r="CE35" s="615">
        <f t="shared" si="32"/>
        <v>9.9499999999999993</v>
      </c>
      <c r="CF35" s="615"/>
      <c r="CG35" s="615">
        <f t="shared" si="33"/>
        <v>9.9499999999999993</v>
      </c>
      <c r="CH35" s="615">
        <v>0</v>
      </c>
      <c r="CI35" s="615"/>
      <c r="CJ35" s="616"/>
      <c r="CK35" s="616"/>
      <c r="CL35" s="616"/>
      <c r="CM35" s="616"/>
      <c r="CN35" s="616"/>
      <c r="CO35" s="616"/>
      <c r="CP35" s="616"/>
      <c r="CQ35" s="616"/>
      <c r="CR35" s="616"/>
      <c r="CS35" s="616"/>
    </row>
    <row r="36" spans="1:99" ht="18" customHeight="1">
      <c r="A36" s="1635"/>
      <c r="B36" s="1635"/>
      <c r="C36" s="284">
        <v>17</v>
      </c>
      <c r="D36" s="1026" t="s">
        <v>1800</v>
      </c>
      <c r="E36" s="490" t="s">
        <v>259</v>
      </c>
      <c r="F36" s="275"/>
      <c r="G36" s="260" t="s">
        <v>490</v>
      </c>
      <c r="H36" s="275" t="s">
        <v>287</v>
      </c>
      <c r="I36" s="1628"/>
      <c r="J36" s="599">
        <f t="shared" si="20"/>
        <v>0.1</v>
      </c>
      <c r="K36" s="1637"/>
      <c r="L36" s="601">
        <f t="shared" si="21"/>
        <v>0.1</v>
      </c>
      <c r="M36" s="1637"/>
      <c r="N36" s="579">
        <f t="shared" si="14"/>
        <v>0</v>
      </c>
      <c r="O36" s="598">
        <f t="shared" si="1"/>
        <v>0</v>
      </c>
      <c r="P36" s="597">
        <f t="shared" si="15"/>
        <v>0</v>
      </c>
      <c r="Q36" s="977">
        <f t="shared" si="16"/>
        <v>0</v>
      </c>
      <c r="R36" s="978">
        <f t="shared" si="17"/>
        <v>0</v>
      </c>
      <c r="S36" s="677"/>
      <c r="T36" s="634">
        <v>0</v>
      </c>
      <c r="U36" s="1583"/>
      <c r="V36" s="634">
        <v>0</v>
      </c>
      <c r="W36" s="1583"/>
      <c r="X36" s="167">
        <f t="shared" si="22"/>
        <v>0</v>
      </c>
      <c r="Y36" s="677"/>
      <c r="Z36" s="634">
        <v>1</v>
      </c>
      <c r="AA36" s="1625"/>
      <c r="AB36" s="634">
        <v>1</v>
      </c>
      <c r="AC36" s="1646"/>
      <c r="AD36" s="167">
        <f t="shared" si="23"/>
        <v>0</v>
      </c>
      <c r="AE36" s="677"/>
      <c r="AF36" s="634">
        <v>0</v>
      </c>
      <c r="AG36" s="1625"/>
      <c r="AH36" s="634">
        <v>0</v>
      </c>
      <c r="AI36" s="1625"/>
      <c r="AJ36" s="167">
        <f t="shared" si="24"/>
        <v>0</v>
      </c>
      <c r="AK36" s="677"/>
      <c r="AL36" s="634">
        <v>0</v>
      </c>
      <c r="AM36" s="1625"/>
      <c r="AN36" s="634">
        <v>0</v>
      </c>
      <c r="AO36" s="1625"/>
      <c r="AP36" s="167">
        <f t="shared" si="25"/>
        <v>0</v>
      </c>
      <c r="AQ36" s="677"/>
      <c r="AR36" s="634">
        <v>0</v>
      </c>
      <c r="AS36" s="1625"/>
      <c r="AT36" s="634">
        <v>0</v>
      </c>
      <c r="AU36" s="1625"/>
      <c r="AV36" s="167">
        <f t="shared" si="26"/>
        <v>0</v>
      </c>
      <c r="AW36" s="677"/>
      <c r="AX36" s="634">
        <v>0</v>
      </c>
      <c r="AY36" s="1625"/>
      <c r="AZ36" s="634">
        <v>0</v>
      </c>
      <c r="BA36" s="1625"/>
      <c r="BB36" s="167">
        <f t="shared" si="27"/>
        <v>0</v>
      </c>
      <c r="BC36" s="677"/>
      <c r="BD36" s="634">
        <v>0</v>
      </c>
      <c r="BE36" s="1625"/>
      <c r="BF36" s="634">
        <v>0</v>
      </c>
      <c r="BG36" s="1625"/>
      <c r="BH36" s="167">
        <f t="shared" si="28"/>
        <v>0</v>
      </c>
      <c r="BI36" s="677"/>
      <c r="BJ36" s="634">
        <v>0</v>
      </c>
      <c r="BK36" s="1625"/>
      <c r="BL36" s="634">
        <v>0</v>
      </c>
      <c r="BM36" s="1625"/>
      <c r="BN36" s="167">
        <f t="shared" si="29"/>
        <v>0</v>
      </c>
      <c r="BO36" s="677"/>
      <c r="BP36" s="634">
        <v>0</v>
      </c>
      <c r="BQ36" s="1625"/>
      <c r="BR36" s="634">
        <v>0</v>
      </c>
      <c r="BS36" s="1625"/>
      <c r="BT36" s="167">
        <f t="shared" si="30"/>
        <v>0</v>
      </c>
      <c r="BU36" s="677"/>
      <c r="BV36" s="634">
        <v>0</v>
      </c>
      <c r="BW36" s="1625"/>
      <c r="BX36" s="634">
        <v>0</v>
      </c>
      <c r="BY36" s="1583"/>
      <c r="BZ36" s="678">
        <f t="shared" si="31"/>
        <v>0</v>
      </c>
      <c r="CD36" s="615">
        <v>1</v>
      </c>
      <c r="CE36" s="615">
        <f t="shared" si="32"/>
        <v>0</v>
      </c>
      <c r="CF36" s="615"/>
      <c r="CG36" s="615">
        <f t="shared" si="33"/>
        <v>0</v>
      </c>
      <c r="CH36" s="615">
        <v>0</v>
      </c>
      <c r="CI36" s="615"/>
      <c r="CJ36" s="616"/>
      <c r="CK36" s="616"/>
      <c r="CL36" s="616"/>
      <c r="CM36" s="616"/>
      <c r="CN36" s="616"/>
      <c r="CO36" s="616"/>
      <c r="CP36" s="616"/>
      <c r="CQ36" s="616"/>
      <c r="CR36" s="616"/>
      <c r="CS36" s="616"/>
    </row>
    <row r="37" spans="1:99" ht="14.25">
      <c r="A37" s="41" t="s">
        <v>1440</v>
      </c>
      <c r="B37" s="41" t="s">
        <v>1441</v>
      </c>
      <c r="C37" s="284">
        <v>18</v>
      </c>
      <c r="D37" s="79" t="s">
        <v>1439</v>
      </c>
      <c r="E37" s="490" t="s">
        <v>259</v>
      </c>
      <c r="F37" s="275"/>
      <c r="G37" s="260" t="s">
        <v>486</v>
      </c>
      <c r="H37" s="275" t="s">
        <v>287</v>
      </c>
      <c r="I37" s="635">
        <v>3</v>
      </c>
      <c r="J37" s="638" t="s">
        <v>1442</v>
      </c>
      <c r="K37" s="599">
        <f>AVERAGE(BW37,BQ37,BK37,BE37,AY37,AS37,AM37,AG37,AA37,U37)</f>
        <v>3</v>
      </c>
      <c r="L37" s="601" t="s">
        <v>1442</v>
      </c>
      <c r="M37" s="597">
        <f>AVERAGE(BY37,BS37,BM37,BG37,BA37,AU37,AO37,AI37,AC37,W37)</f>
        <v>3</v>
      </c>
      <c r="N37" s="579">
        <f t="shared" si="14"/>
        <v>0</v>
      </c>
      <c r="O37" s="598">
        <f t="shared" si="1"/>
        <v>0</v>
      </c>
      <c r="P37" s="597">
        <f t="shared" si="15"/>
        <v>0</v>
      </c>
      <c r="Q37" s="977">
        <f t="shared" si="16"/>
        <v>0</v>
      </c>
      <c r="R37" s="978">
        <f t="shared" si="17"/>
        <v>0</v>
      </c>
      <c r="S37" s="677"/>
      <c r="T37" s="638" t="s">
        <v>1442</v>
      </c>
      <c r="U37" s="631">
        <f>IF(LEFT(T37,1)="1",3,0)</f>
        <v>3</v>
      </c>
      <c r="V37" s="638" t="s">
        <v>1442</v>
      </c>
      <c r="W37" s="997">
        <f>IF(LEFT(V37)="1",3,0)</f>
        <v>3</v>
      </c>
      <c r="X37" s="167">
        <f>IF((V37=T37)=TRUE,0,1)</f>
        <v>0</v>
      </c>
      <c r="Y37" s="677"/>
      <c r="Z37" s="638" t="s">
        <v>1442</v>
      </c>
      <c r="AA37" s="634">
        <f>IF(LEFT(Z37,1)="1",3,0)</f>
        <v>3</v>
      </c>
      <c r="AB37" s="638" t="s">
        <v>1442</v>
      </c>
      <c r="AC37" s="997">
        <f>IF(LEFT(AB37)="1",3,0)</f>
        <v>3</v>
      </c>
      <c r="AD37" s="167">
        <f>IF((AB37=Z37)=TRUE,0,1)</f>
        <v>0</v>
      </c>
      <c r="AE37" s="677"/>
      <c r="AF37" s="638" t="s">
        <v>1442</v>
      </c>
      <c r="AG37" s="634">
        <f>IF(LEFT(AF37,1)="1",3,0)</f>
        <v>3</v>
      </c>
      <c r="AH37" s="638" t="s">
        <v>1442</v>
      </c>
      <c r="AI37" s="634">
        <f>IF(LEFT(AH37)="1",3,0)</f>
        <v>3</v>
      </c>
      <c r="AJ37" s="167">
        <f>IF((AH37=AF37)=TRUE,0,1)</f>
        <v>0</v>
      </c>
      <c r="AK37" s="677"/>
      <c r="AL37" s="638" t="s">
        <v>1442</v>
      </c>
      <c r="AM37" s="634">
        <f>IF(LEFT(AL37,1)="1",3,0)</f>
        <v>3</v>
      </c>
      <c r="AN37" s="638" t="s">
        <v>1442</v>
      </c>
      <c r="AO37" s="634">
        <f>IF(LEFT(AN37)="1",3,0)</f>
        <v>3</v>
      </c>
      <c r="AP37" s="167">
        <f>IF((AN37=AL37)=TRUE,0,1)</f>
        <v>0</v>
      </c>
      <c r="AQ37" s="677"/>
      <c r="AR37" s="638" t="s">
        <v>1442</v>
      </c>
      <c r="AS37" s="634">
        <f>IF(LEFT(AR37,1)="1",3,0)</f>
        <v>3</v>
      </c>
      <c r="AT37" s="638" t="s">
        <v>1442</v>
      </c>
      <c r="AU37" s="634">
        <f>IF(LEFT(AT37)="1",3,0)</f>
        <v>3</v>
      </c>
      <c r="AV37" s="167">
        <f>IF((AT37=AR37)=TRUE,0,1)</f>
        <v>0</v>
      </c>
      <c r="AW37" s="677"/>
      <c r="AX37" s="638" t="s">
        <v>1442</v>
      </c>
      <c r="AY37" s="634">
        <f>IF(LEFT(AX37,1)="1",3,0)</f>
        <v>3</v>
      </c>
      <c r="AZ37" s="638" t="s">
        <v>1442</v>
      </c>
      <c r="BA37" s="634">
        <f>IF(LEFT(AZ37)="1",3,0)</f>
        <v>3</v>
      </c>
      <c r="BB37" s="167">
        <f>IF((AZ37=AX37)=TRUE,0,1)</f>
        <v>0</v>
      </c>
      <c r="BC37" s="677"/>
      <c r="BD37" s="638" t="s">
        <v>1442</v>
      </c>
      <c r="BE37" s="634">
        <f>IF(LEFT(BD37,1)="1",3,0)</f>
        <v>3</v>
      </c>
      <c r="BF37" s="638" t="s">
        <v>1442</v>
      </c>
      <c r="BG37" s="634">
        <f>IF(LEFT(BF37)="1",3,0)</f>
        <v>3</v>
      </c>
      <c r="BH37" s="167">
        <f>IF((BF37=BD37)=TRUE,0,1)</f>
        <v>0</v>
      </c>
      <c r="BI37" s="677"/>
      <c r="BJ37" s="638" t="s">
        <v>1442</v>
      </c>
      <c r="BK37" s="634">
        <f>IF(LEFT(BJ37,1)="1",3,0)</f>
        <v>3</v>
      </c>
      <c r="BL37" s="638" t="s">
        <v>1442</v>
      </c>
      <c r="BM37" s="634">
        <f>IF(LEFT(BL37)="1",3,0)</f>
        <v>3</v>
      </c>
      <c r="BN37" s="167">
        <f>IF((BL37=BJ37)=TRUE,0,1)</f>
        <v>0</v>
      </c>
      <c r="BO37" s="677"/>
      <c r="BP37" s="638" t="s">
        <v>1442</v>
      </c>
      <c r="BQ37" s="634">
        <f>IF(LEFT(BP37,1)="1",3,0)</f>
        <v>3</v>
      </c>
      <c r="BR37" s="638" t="s">
        <v>1442</v>
      </c>
      <c r="BS37" s="634">
        <f>IF(LEFT(BR37)="1",3,0)</f>
        <v>3</v>
      </c>
      <c r="BT37" s="167">
        <f>IF((BR37=BP37)=TRUE,0,1)</f>
        <v>0</v>
      </c>
      <c r="BU37" s="677"/>
      <c r="BV37" s="638" t="s">
        <v>1442</v>
      </c>
      <c r="BW37" s="634">
        <f>IF(LEFT(BV37,1)="1",3,0)</f>
        <v>3</v>
      </c>
      <c r="BX37" s="638" t="s">
        <v>1442</v>
      </c>
      <c r="BY37" s="631">
        <f>IF(LEFT(BX37)="1",3,0)</f>
        <v>3</v>
      </c>
      <c r="BZ37" s="678">
        <f>IF((BX37=BV37)=TRUE,0,1)</f>
        <v>0</v>
      </c>
      <c r="CD37" s="615">
        <v>1</v>
      </c>
      <c r="CE37" s="615">
        <f t="shared" si="32"/>
        <v>3</v>
      </c>
      <c r="CF37" s="615"/>
      <c r="CG37" s="615">
        <f t="shared" si="33"/>
        <v>3</v>
      </c>
      <c r="CH37" s="615">
        <v>0</v>
      </c>
      <c r="CI37" s="615"/>
      <c r="CJ37" s="616"/>
      <c r="CK37" s="616"/>
      <c r="CL37" s="616"/>
      <c r="CM37" s="616"/>
      <c r="CN37" s="616"/>
      <c r="CO37" s="616"/>
      <c r="CP37" s="616"/>
      <c r="CQ37" s="616"/>
      <c r="CR37" s="616"/>
      <c r="CS37" s="616"/>
    </row>
    <row r="38" spans="1:99" ht="17.25" customHeight="1">
      <c r="A38" s="1633" t="s">
        <v>1443</v>
      </c>
      <c r="B38" s="1633" t="s">
        <v>2036</v>
      </c>
      <c r="C38" s="284">
        <v>19</v>
      </c>
      <c r="D38" s="79" t="s">
        <v>2081</v>
      </c>
      <c r="E38" s="490" t="s">
        <v>259</v>
      </c>
      <c r="F38" s="275"/>
      <c r="G38" s="260" t="s">
        <v>490</v>
      </c>
      <c r="H38" s="275" t="s">
        <v>287</v>
      </c>
      <c r="I38" s="1628">
        <v>12</v>
      </c>
      <c r="J38" s="601">
        <f t="shared" ref="J38:J51" si="34">AVERAGE(BV38,BP38,BJ38,BD38,AX38,AR38,AL38,AF38,Z38,T38)</f>
        <v>0</v>
      </c>
      <c r="K38" s="1636">
        <f>AVERAGE(BW38,BQ38,BK38,BE38,AY38,AS38,AM38,AG38,AA38,U38)</f>
        <v>11.8</v>
      </c>
      <c r="L38" s="601">
        <f t="shared" ref="L38:L43" si="35">AVERAGE(BX38,BR38,BL38,BF38,AZ38,AT38,AN38,AH38,AB38,V38)</f>
        <v>0</v>
      </c>
      <c r="M38" s="1636">
        <f>AVERAGE(BY38,BS38,BM38,BG38,BA38,AU38,AO38,AI38,AC38,W38)</f>
        <v>11.8</v>
      </c>
      <c r="N38" s="617">
        <f t="shared" si="14"/>
        <v>0</v>
      </c>
      <c r="O38" s="598">
        <f t="shared" si="1"/>
        <v>0.19999999999999929</v>
      </c>
      <c r="P38" s="597">
        <f t="shared" si="15"/>
        <v>7.9999999999999724E-2</v>
      </c>
      <c r="Q38" s="977">
        <f t="shared" si="16"/>
        <v>8.8888888888888577E-3</v>
      </c>
      <c r="R38" s="978">
        <f t="shared" si="17"/>
        <v>4.4444444444444288E-3</v>
      </c>
      <c r="S38" s="677"/>
      <c r="T38" s="634">
        <v>0</v>
      </c>
      <c r="U38" s="1583">
        <f>12-T38*3-T39*0.5</f>
        <v>12</v>
      </c>
      <c r="V38" s="634">
        <v>0</v>
      </c>
      <c r="W38" s="1583">
        <f>12-V38*3-V39*0.5</f>
        <v>12</v>
      </c>
      <c r="X38" s="167">
        <f t="shared" ref="X38:X51" si="36">IF(AND(T38=0,V38&lt;&gt;0),1,IF(AND(T38=0,V38=0),0,V38/T38-1))</f>
        <v>0</v>
      </c>
      <c r="Y38" s="677"/>
      <c r="Z38" s="634">
        <v>0</v>
      </c>
      <c r="AA38" s="1625">
        <f>12-Z38*3-Z39*0.5</f>
        <v>12</v>
      </c>
      <c r="AB38" s="634">
        <v>0</v>
      </c>
      <c r="AC38" s="1583">
        <f>12-AB38*3-AB39*0.5</f>
        <v>12</v>
      </c>
      <c r="AD38" s="167">
        <f t="shared" ref="AD38:AD51" si="37">IF(AND(Z38=0,AB38&lt;&gt;0),1,IF(AND(Z38=0,AB38=0),0,AB38/Z38-1))</f>
        <v>0</v>
      </c>
      <c r="AE38" s="677"/>
      <c r="AF38" s="634">
        <v>0</v>
      </c>
      <c r="AG38" s="1625">
        <f>12-AF38*3-AF39*0.5</f>
        <v>12</v>
      </c>
      <c r="AH38" s="634">
        <v>0</v>
      </c>
      <c r="AI38" s="1625">
        <f>12-AH38*3-AH39*0.5</f>
        <v>12</v>
      </c>
      <c r="AJ38" s="167">
        <f t="shared" ref="AJ38:AJ51" si="38">IF(AND(AF38=0,AH38&lt;&gt;0),1,IF(AND(AF38=0,AH38=0),0,AH38/AF38-1))</f>
        <v>0</v>
      </c>
      <c r="AK38" s="677"/>
      <c r="AL38" s="634">
        <v>0</v>
      </c>
      <c r="AM38" s="1625">
        <f>12-AL38*3-AL39*0.5</f>
        <v>12</v>
      </c>
      <c r="AN38" s="634">
        <v>0</v>
      </c>
      <c r="AO38" s="1625">
        <f>12-AN38*3-AN39*0.5</f>
        <v>12</v>
      </c>
      <c r="AP38" s="167">
        <f t="shared" ref="AP38:AP51" si="39">IF(AND(AL38=0,AN38&lt;&gt;0),1,IF(AND(AL38=0,AN38=0),0,AN38/AL38-1))</f>
        <v>0</v>
      </c>
      <c r="AQ38" s="677"/>
      <c r="AR38" s="634">
        <v>0</v>
      </c>
      <c r="AS38" s="1625">
        <f>12-AR38*3-AR39*0.5</f>
        <v>12</v>
      </c>
      <c r="AT38" s="634">
        <v>0</v>
      </c>
      <c r="AU38" s="1625">
        <f>12-AT38*3-AT39*0.5</f>
        <v>12</v>
      </c>
      <c r="AV38" s="167">
        <f t="shared" ref="AV38:AV51" si="40">IF(AND(AR38=0,AT38&lt;&gt;0),1,IF(AND(AR38=0,AT38=0),0,AT38/AR38-1))</f>
        <v>0</v>
      </c>
      <c r="AW38" s="677"/>
      <c r="AX38" s="634">
        <v>0</v>
      </c>
      <c r="AY38" s="1625">
        <f>12-AX38*3-AX39*0.5</f>
        <v>11.5</v>
      </c>
      <c r="AZ38" s="634">
        <v>0</v>
      </c>
      <c r="BA38" s="1625">
        <f>12-AZ38*3-AZ39*0.5</f>
        <v>11.5</v>
      </c>
      <c r="BB38" s="167">
        <f t="shared" ref="BB38:BB51" si="41">IF(AND(AX38=0,AZ38&lt;&gt;0),1,IF(AND(AX38=0,AZ38=0),0,AZ38/AX38-1))</f>
        <v>0</v>
      </c>
      <c r="BC38" s="677"/>
      <c r="BD38" s="634">
        <v>0</v>
      </c>
      <c r="BE38" s="1625">
        <f>12-BD38*3-BD39*0.5</f>
        <v>12</v>
      </c>
      <c r="BF38" s="634">
        <v>0</v>
      </c>
      <c r="BG38" s="1625">
        <f>12-BF38*3-BF39*0.5</f>
        <v>12</v>
      </c>
      <c r="BH38" s="167">
        <f t="shared" ref="BH38:BH51" si="42">IF(AND(BD38=0,BF38&lt;&gt;0),1,IF(AND(BD38=0,BF38=0),0,BF38/BD38-1))</f>
        <v>0</v>
      </c>
      <c r="BI38" s="677"/>
      <c r="BJ38" s="634">
        <v>0</v>
      </c>
      <c r="BK38" s="1625">
        <f>12-BJ38*3-BJ39*0.5</f>
        <v>11.5</v>
      </c>
      <c r="BL38" s="634">
        <v>0</v>
      </c>
      <c r="BM38" s="1625">
        <f>12-BL38*3-BL39*0.5</f>
        <v>11.5</v>
      </c>
      <c r="BN38" s="167">
        <f t="shared" ref="BN38:BN51" si="43">IF(AND(BJ38=0,BL38&lt;&gt;0),1,IF(AND(BJ38=0,BL38=0),0,BL38/BJ38-1))</f>
        <v>0</v>
      </c>
      <c r="BO38" s="677"/>
      <c r="BP38" s="634">
        <v>0</v>
      </c>
      <c r="BQ38" s="1625">
        <f>12-BP38*3-BP39*0.5</f>
        <v>11.5</v>
      </c>
      <c r="BR38" s="634">
        <v>0</v>
      </c>
      <c r="BS38" s="1625">
        <f>12-BR38*3-BR39*0.5</f>
        <v>11.5</v>
      </c>
      <c r="BT38" s="167">
        <f t="shared" ref="BT38:BT51" si="44">IF(AND(BP38=0,BR38&lt;&gt;0),1,IF(AND(BP38=0,BR38=0),0,BR38/BP38-1))</f>
        <v>0</v>
      </c>
      <c r="BU38" s="677"/>
      <c r="BV38" s="634">
        <v>0</v>
      </c>
      <c r="BW38" s="1625">
        <f>12-BV38*3-BV39*0.5</f>
        <v>11.5</v>
      </c>
      <c r="BX38" s="634">
        <v>0</v>
      </c>
      <c r="BY38" s="1583">
        <f>12-BX38*3-BX39*0.5</f>
        <v>11.5</v>
      </c>
      <c r="BZ38" s="678">
        <f t="shared" ref="BZ38:BZ51" si="45">IF(AND(BV38=0,BX38&lt;&gt;0),1,IF(AND(BV38=0,BX38=0),0,BX38/BV38-1))</f>
        <v>0</v>
      </c>
      <c r="CD38" s="615"/>
      <c r="CE38" s="615">
        <v>12</v>
      </c>
      <c r="CF38" s="615">
        <v>1</v>
      </c>
      <c r="CG38" s="615">
        <v>12</v>
      </c>
      <c r="CH38" s="615">
        <v>0</v>
      </c>
      <c r="CI38" s="615"/>
      <c r="CJ38" s="616">
        <v>1</v>
      </c>
      <c r="CK38" s="616">
        <v>11.95</v>
      </c>
      <c r="CL38" s="616">
        <v>1</v>
      </c>
      <c r="CM38" s="616">
        <v>12</v>
      </c>
      <c r="CN38" s="616">
        <v>1</v>
      </c>
      <c r="CO38" s="616">
        <v>11.9</v>
      </c>
      <c r="CP38" s="616">
        <v>1</v>
      </c>
      <c r="CQ38" s="616">
        <v>12</v>
      </c>
      <c r="CR38" s="616">
        <v>1</v>
      </c>
      <c r="CS38" s="616">
        <v>12</v>
      </c>
    </row>
    <row r="39" spans="1:99" ht="14.25">
      <c r="A39" s="1635"/>
      <c r="B39" s="1635"/>
      <c r="C39" s="284">
        <v>20</v>
      </c>
      <c r="D39" s="1026" t="s">
        <v>1444</v>
      </c>
      <c r="E39" s="490" t="s">
        <v>259</v>
      </c>
      <c r="F39" s="275"/>
      <c r="G39" s="260" t="s">
        <v>490</v>
      </c>
      <c r="H39" s="275" t="s">
        <v>287</v>
      </c>
      <c r="I39" s="1628"/>
      <c r="J39" s="601">
        <f t="shared" si="34"/>
        <v>0.4</v>
      </c>
      <c r="K39" s="1637"/>
      <c r="L39" s="601">
        <f t="shared" si="35"/>
        <v>0.4</v>
      </c>
      <c r="M39" s="1637"/>
      <c r="N39" s="579">
        <f t="shared" si="14"/>
        <v>0</v>
      </c>
      <c r="O39" s="598">
        <f t="shared" si="1"/>
        <v>0</v>
      </c>
      <c r="P39" s="597">
        <f t="shared" si="15"/>
        <v>0</v>
      </c>
      <c r="Q39" s="977">
        <f t="shared" si="16"/>
        <v>0</v>
      </c>
      <c r="R39" s="978">
        <f t="shared" si="17"/>
        <v>0</v>
      </c>
      <c r="S39" s="677"/>
      <c r="T39" s="634">
        <v>0</v>
      </c>
      <c r="U39" s="1583"/>
      <c r="V39" s="634">
        <v>0</v>
      </c>
      <c r="W39" s="1583"/>
      <c r="X39" s="167">
        <f t="shared" si="36"/>
        <v>0</v>
      </c>
      <c r="Y39" s="677"/>
      <c r="Z39" s="634">
        <v>0</v>
      </c>
      <c r="AA39" s="1625"/>
      <c r="AB39" s="634">
        <v>0</v>
      </c>
      <c r="AC39" s="1583"/>
      <c r="AD39" s="167">
        <f t="shared" si="37"/>
        <v>0</v>
      </c>
      <c r="AE39" s="677"/>
      <c r="AF39" s="634">
        <v>0</v>
      </c>
      <c r="AG39" s="1625"/>
      <c r="AH39" s="634">
        <v>0</v>
      </c>
      <c r="AI39" s="1625"/>
      <c r="AJ39" s="167">
        <f t="shared" si="38"/>
        <v>0</v>
      </c>
      <c r="AK39" s="677"/>
      <c r="AL39" s="634">
        <v>0</v>
      </c>
      <c r="AM39" s="1625"/>
      <c r="AN39" s="634">
        <v>0</v>
      </c>
      <c r="AO39" s="1625"/>
      <c r="AP39" s="167">
        <f t="shared" si="39"/>
        <v>0</v>
      </c>
      <c r="AQ39" s="677"/>
      <c r="AR39" s="634">
        <v>0</v>
      </c>
      <c r="AS39" s="1625"/>
      <c r="AT39" s="634">
        <v>0</v>
      </c>
      <c r="AU39" s="1625"/>
      <c r="AV39" s="167">
        <f t="shared" si="40"/>
        <v>0</v>
      </c>
      <c r="AW39" s="677"/>
      <c r="AX39" s="634">
        <v>1</v>
      </c>
      <c r="AY39" s="1625"/>
      <c r="AZ39" s="634">
        <v>1</v>
      </c>
      <c r="BA39" s="1625"/>
      <c r="BB39" s="167">
        <f t="shared" si="41"/>
        <v>0</v>
      </c>
      <c r="BC39" s="677"/>
      <c r="BD39" s="634">
        <v>0</v>
      </c>
      <c r="BE39" s="1625"/>
      <c r="BF39" s="634">
        <v>0</v>
      </c>
      <c r="BG39" s="1625"/>
      <c r="BH39" s="167">
        <f t="shared" si="42"/>
        <v>0</v>
      </c>
      <c r="BI39" s="677"/>
      <c r="BJ39" s="634">
        <v>1</v>
      </c>
      <c r="BK39" s="1625"/>
      <c r="BL39" s="634">
        <v>1</v>
      </c>
      <c r="BM39" s="1625"/>
      <c r="BN39" s="167">
        <f t="shared" si="43"/>
        <v>0</v>
      </c>
      <c r="BO39" s="677"/>
      <c r="BP39" s="634">
        <v>1</v>
      </c>
      <c r="BQ39" s="1625"/>
      <c r="BR39" s="634">
        <v>1</v>
      </c>
      <c r="BS39" s="1625"/>
      <c r="BT39" s="167">
        <f t="shared" si="44"/>
        <v>0</v>
      </c>
      <c r="BU39" s="677"/>
      <c r="BV39" s="634">
        <v>1</v>
      </c>
      <c r="BW39" s="1625"/>
      <c r="BX39" s="634">
        <v>1</v>
      </c>
      <c r="BY39" s="1583"/>
      <c r="BZ39" s="678">
        <f t="shared" si="45"/>
        <v>0</v>
      </c>
      <c r="CD39" s="615"/>
      <c r="CE39" s="615">
        <f>M39</f>
        <v>0</v>
      </c>
      <c r="CF39" s="615">
        <v>1</v>
      </c>
      <c r="CG39" s="615">
        <f>M39</f>
        <v>0</v>
      </c>
      <c r="CH39" s="615">
        <v>0</v>
      </c>
      <c r="CI39" s="615"/>
      <c r="CJ39" s="616"/>
      <c r="CK39" s="616"/>
      <c r="CL39" s="616"/>
      <c r="CM39" s="616"/>
      <c r="CN39" s="616"/>
      <c r="CO39" s="616"/>
      <c r="CP39" s="616"/>
      <c r="CQ39" s="616"/>
      <c r="CR39" s="616"/>
      <c r="CS39" s="616"/>
      <c r="CT39" s="53"/>
      <c r="CU39" s="53"/>
    </row>
    <row r="40" spans="1:99" ht="14.25">
      <c r="A40" s="1633" t="s">
        <v>416</v>
      </c>
      <c r="B40" s="1633" t="s">
        <v>1445</v>
      </c>
      <c r="C40" s="284">
        <v>21</v>
      </c>
      <c r="D40" s="1026" t="s">
        <v>2077</v>
      </c>
      <c r="E40" s="482"/>
      <c r="F40" s="61"/>
      <c r="G40" s="260" t="s">
        <v>490</v>
      </c>
      <c r="H40" s="61" t="s">
        <v>287</v>
      </c>
      <c r="I40" s="635">
        <v>2</v>
      </c>
      <c r="J40" s="1038">
        <f t="shared" si="34"/>
        <v>7.4293406163373991E-3</v>
      </c>
      <c r="K40" s="599">
        <f>AVERAGE(BW40,BQ40,BK40,BE40,AY40,AS40,AM40,AG40,AA40,U40)</f>
        <v>1.2</v>
      </c>
      <c r="L40" s="1040">
        <f>AVERAGE(BX40,BR40,BL40,BF40,AZ40,AT40,AN40,AH40,AB40,V40)</f>
        <v>7.4034716311475622E-3</v>
      </c>
      <c r="M40" s="597">
        <f>AVERAGE(BY40,BS40,BM40,BG40,BA40,AU40,AO40,AI40,AC40,W40)</f>
        <v>1.4</v>
      </c>
      <c r="N40" s="579">
        <f t="shared" si="14"/>
        <v>0.19999999999999996</v>
      </c>
      <c r="O40" s="598">
        <f t="shared" si="1"/>
        <v>0.60000000000000009</v>
      </c>
      <c r="P40" s="597">
        <f t="shared" si="15"/>
        <v>0.24000000000000005</v>
      </c>
      <c r="Q40" s="977">
        <f t="shared" si="16"/>
        <v>2.6666666666666672E-2</v>
      </c>
      <c r="R40" s="978">
        <f t="shared" si="17"/>
        <v>1.3333333333333336E-2</v>
      </c>
      <c r="S40" s="677"/>
      <c r="T40" s="68">
        <f>IF(T42=0,"",T41/T42)</f>
        <v>1.0427528675703858E-3</v>
      </c>
      <c r="U40" s="631">
        <f>IF(T40&lt;0.001,2,0)</f>
        <v>0</v>
      </c>
      <c r="V40" s="68">
        <f>IF(V42=0,"",V41/V42)</f>
        <v>1.1185682326621924E-3</v>
      </c>
      <c r="W40" s="997">
        <f>IF(V40&lt;0.001,2,0)</f>
        <v>0</v>
      </c>
      <c r="X40" s="167">
        <f t="shared" si="36"/>
        <v>7.2706935123042493E-2</v>
      </c>
      <c r="Y40" s="677"/>
      <c r="Z40" s="68">
        <f>IF(Z42=0,"",Z41/Z42)</f>
        <v>5.0714462707524575E-2</v>
      </c>
      <c r="AA40" s="634">
        <f>IF(Z40&lt;0.001,2,0)</f>
        <v>0</v>
      </c>
      <c r="AB40" s="68">
        <f>IF(AB42=0,"",AB41/AB42)</f>
        <v>4.6816622188333969E-2</v>
      </c>
      <c r="AC40" s="997">
        <f>IF(AB40&lt;0.001,2,0)</f>
        <v>0</v>
      </c>
      <c r="AD40" s="167">
        <f t="shared" si="37"/>
        <v>-7.6858558902020646E-2</v>
      </c>
      <c r="AE40" s="677"/>
      <c r="AF40" s="68">
        <f>IF(AF42=0,"",AF41/AF42)</f>
        <v>0</v>
      </c>
      <c r="AG40" s="634">
        <f>IF(AF40&lt;0.001,2,0)</f>
        <v>2</v>
      </c>
      <c r="AH40" s="68">
        <f>IF(AH42=0,"",AH41/AH42)</f>
        <v>0</v>
      </c>
      <c r="AI40" s="634">
        <f>IF(AH40&lt;0.001,2,0)</f>
        <v>2</v>
      </c>
      <c r="AJ40" s="167">
        <f t="shared" si="38"/>
        <v>0</v>
      </c>
      <c r="AK40" s="677"/>
      <c r="AL40" s="68">
        <f>IF(AL42=0,"",AL41/AL42)</f>
        <v>1.4130434782608696E-2</v>
      </c>
      <c r="AM40" s="634">
        <f>IF(AL40&lt;0.001,2,0)</f>
        <v>0</v>
      </c>
      <c r="AN40" s="68">
        <f>IF(AN42=0,"",AN41/AN42)</f>
        <v>2.5742574257425741E-2</v>
      </c>
      <c r="AO40" s="634">
        <f>IF(AN40&lt;0.001,2,0)</f>
        <v>0</v>
      </c>
      <c r="AP40" s="167">
        <f t="shared" si="39"/>
        <v>0.82178217821782162</v>
      </c>
      <c r="AQ40" s="677"/>
      <c r="AR40" s="68">
        <f>IF(AR42=0,"",AR41/AR42)</f>
        <v>0</v>
      </c>
      <c r="AS40" s="634">
        <f>IF(AR40&lt;0.001,2,0)</f>
        <v>2</v>
      </c>
      <c r="AT40" s="68">
        <f>IF(AT42=0,"",AT41/AT42)</f>
        <v>0</v>
      </c>
      <c r="AU40" s="634">
        <f>IF(AT40&lt;0.001,2,0)</f>
        <v>2</v>
      </c>
      <c r="AV40" s="167">
        <f t="shared" si="40"/>
        <v>0</v>
      </c>
      <c r="AW40" s="677"/>
      <c r="AX40" s="68">
        <f>IF(AX42=0,"",AX41/AX42)</f>
        <v>0</v>
      </c>
      <c r="AY40" s="634">
        <f>IF(AX40&lt;0.001,2,0)</f>
        <v>2</v>
      </c>
      <c r="AZ40" s="68">
        <f>IF(AZ42=0,"",AZ41/AZ42)</f>
        <v>0</v>
      </c>
      <c r="BA40" s="634">
        <f>IF(AZ40&lt;0.001,2,0)</f>
        <v>2</v>
      </c>
      <c r="BB40" s="167">
        <f t="shared" si="41"/>
        <v>0</v>
      </c>
      <c r="BC40" s="677"/>
      <c r="BD40" s="68">
        <f>IF(BD42=0,"",BD41/BD42)</f>
        <v>8.405755805670323E-3</v>
      </c>
      <c r="BE40" s="634">
        <f>IF(BD40&lt;0.001,2,0)</f>
        <v>0</v>
      </c>
      <c r="BF40" s="68">
        <f>IF(BF42=0,"",BF41/BF42)</f>
        <v>3.569516330537212E-4</v>
      </c>
      <c r="BG40" s="634">
        <f>IF(BF40&lt;0.001,2,0)</f>
        <v>2</v>
      </c>
      <c r="BH40" s="167">
        <f t="shared" si="42"/>
        <v>-0.95753485572196495</v>
      </c>
      <c r="BI40" s="677"/>
      <c r="BJ40" s="68">
        <f>IF(BJ42=0,"",BJ41/BJ42)</f>
        <v>0</v>
      </c>
      <c r="BK40" s="634">
        <f>IF(BJ40&lt;0.001,2,0)</f>
        <v>2</v>
      </c>
      <c r="BL40" s="68">
        <f>IF(BL42=0,"",BL41/BL42)</f>
        <v>0</v>
      </c>
      <c r="BM40" s="634">
        <f>IF(BL40&lt;0.001,2,0)</f>
        <v>2</v>
      </c>
      <c r="BN40" s="167">
        <f t="shared" si="43"/>
        <v>0</v>
      </c>
      <c r="BO40" s="677"/>
      <c r="BP40" s="68">
        <f>IF(BP42=0,"",BP41/BP42)</f>
        <v>0</v>
      </c>
      <c r="BQ40" s="634">
        <f>IF(BP40&lt;0.001,2,0)</f>
        <v>2</v>
      </c>
      <c r="BR40" s="68">
        <f>IF(BR42=0,"",BR41/BR42)</f>
        <v>0</v>
      </c>
      <c r="BS40" s="634">
        <f>IF(BR40&lt;0.001,2,0)</f>
        <v>2</v>
      </c>
      <c r="BT40" s="167">
        <f t="shared" si="44"/>
        <v>0</v>
      </c>
      <c r="BU40" s="677"/>
      <c r="BV40" s="68">
        <f>IF(BV42=0,"",BV41/BV42)</f>
        <v>0</v>
      </c>
      <c r="BW40" s="634">
        <f>IF(BV40&lt;0.001,2,0)</f>
        <v>2</v>
      </c>
      <c r="BX40" s="68">
        <f>IF(BX42=0,"",BX41/BX42)</f>
        <v>0</v>
      </c>
      <c r="BY40" s="631">
        <f>IF(BX40&lt;0.001,2,0)</f>
        <v>2</v>
      </c>
      <c r="BZ40" s="678">
        <f t="shared" si="45"/>
        <v>0</v>
      </c>
      <c r="CD40" s="615">
        <v>1</v>
      </c>
      <c r="CE40" s="615">
        <v>2</v>
      </c>
      <c r="CF40" s="615"/>
      <c r="CG40" s="615"/>
      <c r="CH40" s="615">
        <v>0</v>
      </c>
      <c r="CI40" s="615"/>
      <c r="CJ40" s="616"/>
      <c r="CK40" s="616"/>
      <c r="CL40" s="616">
        <v>1</v>
      </c>
      <c r="CM40" s="615">
        <v>1.8</v>
      </c>
      <c r="CN40" s="616">
        <v>1</v>
      </c>
      <c r="CO40" s="615">
        <f>$M40</f>
        <v>1.4</v>
      </c>
      <c r="CP40" s="616"/>
      <c r="CQ40" s="616"/>
      <c r="CR40" s="616"/>
      <c r="CS40" s="616"/>
    </row>
    <row r="41" spans="1:99" ht="19.5" customHeight="1">
      <c r="A41" s="1634"/>
      <c r="B41" s="1634"/>
      <c r="C41" s="285">
        <v>21.1</v>
      </c>
      <c r="D41" s="638" t="s">
        <v>175</v>
      </c>
      <c r="E41" s="490" t="s">
        <v>259</v>
      </c>
      <c r="F41" s="275"/>
      <c r="G41" s="260"/>
      <c r="H41" s="275"/>
      <c r="I41" s="261"/>
      <c r="J41" s="601">
        <f t="shared" si="34"/>
        <v>68.7</v>
      </c>
      <c r="K41" s="599"/>
      <c r="L41" s="601">
        <f t="shared" si="35"/>
        <v>63</v>
      </c>
      <c r="M41" s="597"/>
      <c r="N41" s="579">
        <f t="shared" si="14"/>
        <v>0</v>
      </c>
      <c r="O41" s="598">
        <f t="shared" si="1"/>
        <v>0</v>
      </c>
      <c r="P41" s="597">
        <f>O41*0.4</f>
        <v>0</v>
      </c>
      <c r="Q41" s="977">
        <f t="shared" si="16"/>
        <v>0</v>
      </c>
      <c r="R41" s="978">
        <f t="shared" si="17"/>
        <v>0</v>
      </c>
      <c r="S41" s="677"/>
      <c r="T41" s="127">
        <v>1</v>
      </c>
      <c r="U41" s="589"/>
      <c r="V41" s="127">
        <v>1</v>
      </c>
      <c r="W41" s="1006"/>
      <c r="X41" s="167">
        <f t="shared" si="36"/>
        <v>0</v>
      </c>
      <c r="Y41" s="677"/>
      <c r="Z41" s="127">
        <v>614</v>
      </c>
      <c r="AA41" s="127"/>
      <c r="AB41" s="127">
        <v>614</v>
      </c>
      <c r="AC41" s="1006"/>
      <c r="AD41" s="167">
        <f t="shared" si="37"/>
        <v>0</v>
      </c>
      <c r="AE41" s="677"/>
      <c r="AF41" s="127">
        <v>0</v>
      </c>
      <c r="AG41" s="127"/>
      <c r="AH41" s="127">
        <v>0</v>
      </c>
      <c r="AI41" s="127"/>
      <c r="AJ41" s="167">
        <f t="shared" si="38"/>
        <v>0</v>
      </c>
      <c r="AK41" s="677"/>
      <c r="AL41" s="127">
        <v>13</v>
      </c>
      <c r="AM41" s="127"/>
      <c r="AN41" s="127">
        <v>13</v>
      </c>
      <c r="AO41" s="127"/>
      <c r="AP41" s="167">
        <f t="shared" si="39"/>
        <v>0</v>
      </c>
      <c r="AQ41" s="677"/>
      <c r="AR41" s="127">
        <v>0</v>
      </c>
      <c r="AS41" s="127"/>
      <c r="AT41" s="127">
        <v>0</v>
      </c>
      <c r="AU41" s="127"/>
      <c r="AV41" s="167">
        <f t="shared" si="40"/>
        <v>0</v>
      </c>
      <c r="AW41" s="677"/>
      <c r="AX41" s="127">
        <v>0</v>
      </c>
      <c r="AY41" s="127"/>
      <c r="AZ41" s="127">
        <v>0</v>
      </c>
      <c r="BA41" s="127"/>
      <c r="BB41" s="167">
        <f t="shared" si="41"/>
        <v>0</v>
      </c>
      <c r="BC41" s="677"/>
      <c r="BD41" s="127">
        <v>59</v>
      </c>
      <c r="BE41" s="127"/>
      <c r="BF41" s="127">
        <v>2</v>
      </c>
      <c r="BG41" s="127"/>
      <c r="BH41" s="167">
        <f t="shared" si="42"/>
        <v>-0.96610169491525422</v>
      </c>
      <c r="BI41" s="677"/>
      <c r="BJ41" s="127">
        <v>0</v>
      </c>
      <c r="BK41" s="127"/>
      <c r="BL41" s="127">
        <v>0</v>
      </c>
      <c r="BM41" s="127"/>
      <c r="BN41" s="167">
        <f t="shared" si="43"/>
        <v>0</v>
      </c>
      <c r="BO41" s="677"/>
      <c r="BP41" s="127">
        <v>0</v>
      </c>
      <c r="BQ41" s="127"/>
      <c r="BR41" s="127">
        <v>0</v>
      </c>
      <c r="BS41" s="127"/>
      <c r="BT41" s="167">
        <f t="shared" si="44"/>
        <v>0</v>
      </c>
      <c r="BU41" s="677"/>
      <c r="BV41" s="127">
        <v>0</v>
      </c>
      <c r="BW41" s="127"/>
      <c r="BX41" s="127">
        <v>0</v>
      </c>
      <c r="BY41" s="589"/>
      <c r="BZ41" s="678">
        <f t="shared" si="45"/>
        <v>0</v>
      </c>
      <c r="CD41" s="615"/>
      <c r="CE41" s="615">
        <f>M41</f>
        <v>0</v>
      </c>
      <c r="CF41" s="615"/>
      <c r="CG41" s="615">
        <f t="shared" ref="CG41:CG52" si="46">M41</f>
        <v>0</v>
      </c>
      <c r="CH41" s="615">
        <v>0</v>
      </c>
      <c r="CI41" s="615"/>
      <c r="CJ41" s="616"/>
      <c r="CK41" s="616"/>
      <c r="CL41" s="616"/>
      <c r="CM41" s="616"/>
      <c r="CN41" s="616"/>
      <c r="CO41" s="616"/>
      <c r="CP41" s="616"/>
      <c r="CQ41" s="616"/>
      <c r="CR41" s="616"/>
      <c r="CS41" s="616"/>
    </row>
    <row r="42" spans="1:99" ht="24" customHeight="1">
      <c r="A42" s="1635"/>
      <c r="B42" s="1635"/>
      <c r="C42" s="285">
        <v>21.2</v>
      </c>
      <c r="D42" s="638" t="s">
        <v>176</v>
      </c>
      <c r="E42" s="490" t="s">
        <v>259</v>
      </c>
      <c r="F42" s="275"/>
      <c r="G42" s="260"/>
      <c r="H42" s="275"/>
      <c r="I42" s="261"/>
      <c r="J42" s="601">
        <f t="shared" si="34"/>
        <v>4467.8999999999996</v>
      </c>
      <c r="K42" s="599"/>
      <c r="L42" s="601">
        <f t="shared" si="35"/>
        <v>2775.8</v>
      </c>
      <c r="M42" s="597"/>
      <c r="N42" s="579">
        <f t="shared" si="14"/>
        <v>0</v>
      </c>
      <c r="O42" s="598">
        <f t="shared" si="1"/>
        <v>0</v>
      </c>
      <c r="P42" s="597">
        <f t="shared" si="15"/>
        <v>0</v>
      </c>
      <c r="Q42" s="977">
        <f t="shared" si="16"/>
        <v>0</v>
      </c>
      <c r="R42" s="978">
        <f t="shared" si="17"/>
        <v>0</v>
      </c>
      <c r="S42" s="677"/>
      <c r="T42" s="127">
        <v>959</v>
      </c>
      <c r="U42" s="589"/>
      <c r="V42" s="127">
        <v>894</v>
      </c>
      <c r="W42" s="1006"/>
      <c r="X42" s="167">
        <f t="shared" si="36"/>
        <v>-6.7778936392075106E-2</v>
      </c>
      <c r="Y42" s="677"/>
      <c r="Z42" s="127">
        <v>12107</v>
      </c>
      <c r="AA42" s="127"/>
      <c r="AB42" s="127">
        <v>13115</v>
      </c>
      <c r="AC42" s="1006"/>
      <c r="AD42" s="167">
        <f t="shared" si="37"/>
        <v>8.3257619558932738E-2</v>
      </c>
      <c r="AE42" s="677"/>
      <c r="AF42" s="127">
        <v>931</v>
      </c>
      <c r="AG42" s="127"/>
      <c r="AH42" s="127">
        <v>1219</v>
      </c>
      <c r="AI42" s="127"/>
      <c r="AJ42" s="167">
        <f t="shared" si="38"/>
        <v>0.30934479054779818</v>
      </c>
      <c r="AK42" s="677"/>
      <c r="AL42" s="127">
        <v>920</v>
      </c>
      <c r="AM42" s="127"/>
      <c r="AN42" s="127">
        <v>505</v>
      </c>
      <c r="AO42" s="127"/>
      <c r="AP42" s="167">
        <f t="shared" si="39"/>
        <v>-0.45108695652173914</v>
      </c>
      <c r="AQ42" s="677"/>
      <c r="AR42" s="127">
        <v>2504</v>
      </c>
      <c r="AS42" s="127"/>
      <c r="AT42" s="127">
        <v>1125</v>
      </c>
      <c r="AU42" s="127"/>
      <c r="AV42" s="167">
        <f t="shared" si="40"/>
        <v>-0.55071884984025554</v>
      </c>
      <c r="AW42" s="677"/>
      <c r="AX42" s="648">
        <v>398</v>
      </c>
      <c r="AY42" s="127"/>
      <c r="AZ42" s="648">
        <v>1297</v>
      </c>
      <c r="BA42" s="127"/>
      <c r="BB42" s="167">
        <f t="shared" si="41"/>
        <v>2.2587939698492461</v>
      </c>
      <c r="BC42" s="677"/>
      <c r="BD42" s="127">
        <v>7019</v>
      </c>
      <c r="BE42" s="127"/>
      <c r="BF42" s="127">
        <v>5603</v>
      </c>
      <c r="BG42" s="127"/>
      <c r="BH42" s="167">
        <f t="shared" si="42"/>
        <v>-0.20173813933608775</v>
      </c>
      <c r="BI42" s="677"/>
      <c r="BJ42" s="127">
        <v>1008</v>
      </c>
      <c r="BK42" s="127"/>
      <c r="BL42" s="127">
        <v>264</v>
      </c>
      <c r="BM42" s="127"/>
      <c r="BN42" s="167">
        <f t="shared" si="43"/>
        <v>-0.73809523809523814</v>
      </c>
      <c r="BO42" s="677"/>
      <c r="BP42" s="127">
        <v>145</v>
      </c>
      <c r="BQ42" s="127"/>
      <c r="BR42" s="127">
        <v>101</v>
      </c>
      <c r="BS42" s="127"/>
      <c r="BT42" s="167">
        <f t="shared" si="44"/>
        <v>-0.30344827586206902</v>
      </c>
      <c r="BU42" s="677"/>
      <c r="BV42" s="127">
        <v>18688</v>
      </c>
      <c r="BW42" s="127"/>
      <c r="BX42" s="127">
        <v>3635</v>
      </c>
      <c r="BY42" s="589"/>
      <c r="BZ42" s="678">
        <f t="shared" si="45"/>
        <v>-0.80549015410958902</v>
      </c>
      <c r="CD42" s="615"/>
      <c r="CE42" s="615">
        <f>M42</f>
        <v>0</v>
      </c>
      <c r="CF42" s="615"/>
      <c r="CG42" s="615">
        <f t="shared" si="46"/>
        <v>0</v>
      </c>
      <c r="CH42" s="615">
        <v>0</v>
      </c>
      <c r="CI42" s="615"/>
      <c r="CJ42" s="616"/>
      <c r="CK42" s="616"/>
      <c r="CL42" s="616"/>
      <c r="CM42" s="616"/>
      <c r="CN42" s="616"/>
      <c r="CO42" s="616"/>
      <c r="CP42" s="616"/>
      <c r="CQ42" s="616"/>
      <c r="CR42" s="616"/>
      <c r="CS42" s="616"/>
    </row>
    <row r="43" spans="1:99" ht="19.5" customHeight="1">
      <c r="A43" s="1632" t="s">
        <v>1447</v>
      </c>
      <c r="B43" s="1632" t="s">
        <v>1448</v>
      </c>
      <c r="C43" s="284">
        <v>22</v>
      </c>
      <c r="D43" s="79" t="s">
        <v>1446</v>
      </c>
      <c r="E43" s="482"/>
      <c r="F43" s="61"/>
      <c r="G43" s="260" t="s">
        <v>490</v>
      </c>
      <c r="H43" s="61" t="s">
        <v>287</v>
      </c>
      <c r="I43" s="635">
        <v>2</v>
      </c>
      <c r="J43" s="601">
        <f t="shared" si="34"/>
        <v>1</v>
      </c>
      <c r="K43" s="599">
        <f>AVERAGE(BW43,BQ43,BK43,BE43,AY43,AS43,AM43,AG43,AA43,U43)</f>
        <v>2</v>
      </c>
      <c r="L43" s="601">
        <f t="shared" si="35"/>
        <v>1</v>
      </c>
      <c r="M43" s="597">
        <f>AVERAGE(BY43,BS43,BM43,BG43,BA43,AU43,AO43,AI43,AC43,W43)</f>
        <v>2</v>
      </c>
      <c r="N43" s="579">
        <f t="shared" si="14"/>
        <v>0</v>
      </c>
      <c r="O43" s="598">
        <f t="shared" si="1"/>
        <v>0</v>
      </c>
      <c r="P43" s="597">
        <f t="shared" si="15"/>
        <v>0</v>
      </c>
      <c r="Q43" s="977">
        <f t="shared" si="16"/>
        <v>0</v>
      </c>
      <c r="R43" s="978">
        <f t="shared" si="17"/>
        <v>0</v>
      </c>
      <c r="S43" s="677"/>
      <c r="T43" s="167">
        <f>T44/T45</f>
        <v>1</v>
      </c>
      <c r="U43" s="631">
        <f>IF(T43&gt;=1,2,IF(T43&gt;=0.95,1,0))</f>
        <v>2</v>
      </c>
      <c r="V43" s="167">
        <f>V44/V45</f>
        <v>1</v>
      </c>
      <c r="W43" s="997">
        <f>IF(V43&gt;=1,2,IF(V43&gt;=0.95,1))</f>
        <v>2</v>
      </c>
      <c r="X43" s="167">
        <f t="shared" si="36"/>
        <v>0</v>
      </c>
      <c r="Y43" s="677"/>
      <c r="Z43" s="167">
        <f>Z44/Z45</f>
        <v>1</v>
      </c>
      <c r="AA43" s="634">
        <f>IF(Z43&gt;=1,2,IF(Z43&gt;=0.95,1,0))</f>
        <v>2</v>
      </c>
      <c r="AB43" s="167">
        <f>AB44/AB45</f>
        <v>1</v>
      </c>
      <c r="AC43" s="997">
        <f>IF(AB43&gt;=1,2,IF(AB43&gt;=0.95,1))</f>
        <v>2</v>
      </c>
      <c r="AD43" s="167">
        <f t="shared" si="37"/>
        <v>0</v>
      </c>
      <c r="AE43" s="677"/>
      <c r="AF43" s="167">
        <f>AF44/AF45</f>
        <v>1</v>
      </c>
      <c r="AG43" s="634">
        <f>IF(AF43&gt;=1,2,IF(AF43&gt;=0.95,1,0))</f>
        <v>2</v>
      </c>
      <c r="AH43" s="167">
        <f>AH44/AH45</f>
        <v>1</v>
      </c>
      <c r="AI43" s="634">
        <f>IF(AH43&gt;=1,2,IF(AH43&gt;=0.95,1))</f>
        <v>2</v>
      </c>
      <c r="AJ43" s="167">
        <f t="shared" si="38"/>
        <v>0</v>
      </c>
      <c r="AK43" s="677"/>
      <c r="AL43" s="167">
        <f>AL44/AL45</f>
        <v>1</v>
      </c>
      <c r="AM43" s="634">
        <f>IF(AL43&gt;=1,2,IF(AL43&gt;=0.95,1,0))</f>
        <v>2</v>
      </c>
      <c r="AN43" s="167">
        <f>AN44/AN45</f>
        <v>1</v>
      </c>
      <c r="AO43" s="634">
        <f>IF(AN43&gt;=1,2,IF(AN43&gt;=0.95,1))</f>
        <v>2</v>
      </c>
      <c r="AP43" s="167">
        <f t="shared" si="39"/>
        <v>0</v>
      </c>
      <c r="AQ43" s="677"/>
      <c r="AR43" s="167">
        <f>AR44/AR45</f>
        <v>1</v>
      </c>
      <c r="AS43" s="634">
        <f>IF(AR43&gt;=1,2,IF(AR43&gt;=0.95,1,0))</f>
        <v>2</v>
      </c>
      <c r="AT43" s="167">
        <f>AT44/AT45</f>
        <v>1</v>
      </c>
      <c r="AU43" s="634">
        <f>IF(AT43&gt;=1,2,IF(AT43&gt;=0.95,1))</f>
        <v>2</v>
      </c>
      <c r="AV43" s="167">
        <f t="shared" si="40"/>
        <v>0</v>
      </c>
      <c r="AW43" s="677"/>
      <c r="AX43" s="167">
        <f>AX44/AX45</f>
        <v>1</v>
      </c>
      <c r="AY43" s="634">
        <f>IF(AX43&gt;=1,2,IF(AX43&gt;=0.95,1,0))</f>
        <v>2</v>
      </c>
      <c r="AZ43" s="167">
        <f>AZ44/AZ45</f>
        <v>1</v>
      </c>
      <c r="BA43" s="634">
        <f>IF(AZ43&gt;=1,2,IF(AZ43&gt;=0.95,1))</f>
        <v>2</v>
      </c>
      <c r="BB43" s="167">
        <f t="shared" si="41"/>
        <v>0</v>
      </c>
      <c r="BC43" s="677"/>
      <c r="BD43" s="167">
        <f>BD44/BD45</f>
        <v>1</v>
      </c>
      <c r="BE43" s="634">
        <f>IF(BD43&gt;=1,2,IF(BD43&gt;=0.95,1,0))</f>
        <v>2</v>
      </c>
      <c r="BF43" s="167">
        <f>BF44/BF45</f>
        <v>1</v>
      </c>
      <c r="BG43" s="634">
        <f>IF(BF43&gt;=1,2,IF(BF43&gt;=0.95,1))</f>
        <v>2</v>
      </c>
      <c r="BH43" s="167">
        <f t="shared" si="42"/>
        <v>0</v>
      </c>
      <c r="BI43" s="677"/>
      <c r="BJ43" s="167">
        <f>BJ44/BJ45</f>
        <v>1</v>
      </c>
      <c r="BK43" s="634">
        <f>IF(BJ43&gt;=1,2,IF(BJ43&gt;=0.95,1,0))</f>
        <v>2</v>
      </c>
      <c r="BL43" s="167">
        <f>BL44/BL45</f>
        <v>1</v>
      </c>
      <c r="BM43" s="634">
        <f>IF(BL43&gt;=1,2,IF(BL43&gt;=0.95,1))</f>
        <v>2</v>
      </c>
      <c r="BN43" s="167">
        <f t="shared" si="43"/>
        <v>0</v>
      </c>
      <c r="BO43" s="677"/>
      <c r="BP43" s="167">
        <f>BP44/BP45</f>
        <v>1</v>
      </c>
      <c r="BQ43" s="634">
        <f>IF(BP43&gt;=1,2,IF(BP43&gt;=0.95,1,0))</f>
        <v>2</v>
      </c>
      <c r="BR43" s="167">
        <f>BR44/BR45</f>
        <v>1</v>
      </c>
      <c r="BS43" s="634">
        <f>IF(BR43&gt;=1,2,IF(BR43&gt;=0.95,1))</f>
        <v>2</v>
      </c>
      <c r="BT43" s="167">
        <f t="shared" si="44"/>
        <v>0</v>
      </c>
      <c r="BU43" s="677"/>
      <c r="BV43" s="167">
        <f>BV44/BV45</f>
        <v>1</v>
      </c>
      <c r="BW43" s="634">
        <f>IF(BV43&gt;=1,2,IF(BV43&gt;=0.95,1,0))</f>
        <v>2</v>
      </c>
      <c r="BX43" s="167">
        <f>BX44/BX45</f>
        <v>1</v>
      </c>
      <c r="BY43" s="631">
        <f>IF(BX43&gt;=1,2,IF(BX43&gt;=0.95,1))</f>
        <v>2</v>
      </c>
      <c r="BZ43" s="678">
        <f t="shared" si="45"/>
        <v>0</v>
      </c>
      <c r="CD43" s="615">
        <v>1</v>
      </c>
      <c r="CE43" s="615">
        <f>$M43</f>
        <v>2</v>
      </c>
      <c r="CF43" s="615"/>
      <c r="CG43" s="615">
        <f t="shared" si="46"/>
        <v>2</v>
      </c>
      <c r="CH43" s="615">
        <v>0</v>
      </c>
      <c r="CI43" s="615"/>
      <c r="CJ43" s="616"/>
      <c r="CK43" s="616"/>
      <c r="CL43" s="616">
        <v>1</v>
      </c>
      <c r="CM43" s="615">
        <f>$M43</f>
        <v>2</v>
      </c>
      <c r="CN43" s="616">
        <v>1</v>
      </c>
      <c r="CO43" s="615">
        <f>$M43</f>
        <v>2</v>
      </c>
      <c r="CP43" s="616"/>
      <c r="CQ43" s="616"/>
      <c r="CR43" s="616"/>
      <c r="CS43" s="616"/>
    </row>
    <row r="44" spans="1:99" ht="16.5" customHeight="1">
      <c r="A44" s="1626"/>
      <c r="B44" s="1626"/>
      <c r="C44" s="285">
        <v>22.1</v>
      </c>
      <c r="D44" s="638" t="s">
        <v>1449</v>
      </c>
      <c r="E44" s="490" t="s">
        <v>259</v>
      </c>
      <c r="F44" s="275"/>
      <c r="G44" s="260"/>
      <c r="H44" s="275"/>
      <c r="I44" s="260"/>
      <c r="J44" s="601">
        <f t="shared" si="34"/>
        <v>5086</v>
      </c>
      <c r="K44" s="599"/>
      <c r="L44" s="601">
        <v>2</v>
      </c>
      <c r="M44" s="597"/>
      <c r="N44" s="579">
        <f t="shared" si="14"/>
        <v>0</v>
      </c>
      <c r="O44" s="598">
        <f t="shared" si="1"/>
        <v>0</v>
      </c>
      <c r="P44" s="597">
        <f t="shared" si="15"/>
        <v>0</v>
      </c>
      <c r="Q44" s="977">
        <f t="shared" si="16"/>
        <v>0</v>
      </c>
      <c r="R44" s="978">
        <f t="shared" si="17"/>
        <v>0</v>
      </c>
      <c r="S44" s="677"/>
      <c r="T44" s="127">
        <v>1326</v>
      </c>
      <c r="U44" s="589"/>
      <c r="V44" s="127">
        <v>988</v>
      </c>
      <c r="W44" s="1006"/>
      <c r="X44" s="167">
        <f t="shared" si="36"/>
        <v>-0.25490196078431371</v>
      </c>
      <c r="Y44" s="677"/>
      <c r="Z44" s="127">
        <v>14275</v>
      </c>
      <c r="AA44" s="127"/>
      <c r="AB44" s="127">
        <v>15080</v>
      </c>
      <c r="AC44" s="1006"/>
      <c r="AD44" s="167">
        <f t="shared" si="37"/>
        <v>5.6392294220665606E-2</v>
      </c>
      <c r="AE44" s="677"/>
      <c r="AF44" s="127">
        <v>1005</v>
      </c>
      <c r="AG44" s="127"/>
      <c r="AH44" s="127">
        <v>1219</v>
      </c>
      <c r="AI44" s="127"/>
      <c r="AJ44" s="167">
        <f t="shared" si="38"/>
        <v>0.21293532338308463</v>
      </c>
      <c r="AK44" s="677"/>
      <c r="AL44" s="127">
        <v>1292</v>
      </c>
      <c r="AM44" s="127"/>
      <c r="AN44" s="127">
        <v>1593</v>
      </c>
      <c r="AO44" s="127"/>
      <c r="AP44" s="167">
        <f t="shared" si="39"/>
        <v>0.23297213622291024</v>
      </c>
      <c r="AQ44" s="677"/>
      <c r="AR44" s="127">
        <v>2504</v>
      </c>
      <c r="AS44" s="127"/>
      <c r="AT44" s="127">
        <v>1125</v>
      </c>
      <c r="AU44" s="127"/>
      <c r="AV44" s="167">
        <f t="shared" si="40"/>
        <v>-0.55071884984025554</v>
      </c>
      <c r="AW44" s="677"/>
      <c r="AX44" s="648">
        <v>1796</v>
      </c>
      <c r="AY44" s="127"/>
      <c r="AZ44" s="648">
        <v>1155</v>
      </c>
      <c r="BA44" s="127"/>
      <c r="BB44" s="167">
        <f t="shared" si="41"/>
        <v>-0.35690423162583518</v>
      </c>
      <c r="BC44" s="677"/>
      <c r="BD44" s="127">
        <v>8804</v>
      </c>
      <c r="BE44" s="127"/>
      <c r="BF44" s="127">
        <v>9117</v>
      </c>
      <c r="BG44" s="127"/>
      <c r="BH44" s="167">
        <f t="shared" si="42"/>
        <v>3.5552021808268996E-2</v>
      </c>
      <c r="BI44" s="677"/>
      <c r="BJ44" s="715">
        <v>1675</v>
      </c>
      <c r="BK44" s="127"/>
      <c r="BL44" s="127">
        <v>1816</v>
      </c>
      <c r="BM44" s="127"/>
      <c r="BN44" s="167">
        <f t="shared" si="43"/>
        <v>8.4179104477611899E-2</v>
      </c>
      <c r="BO44" s="677"/>
      <c r="BP44" s="127">
        <v>305</v>
      </c>
      <c r="BQ44" s="127"/>
      <c r="BR44" s="127">
        <v>441</v>
      </c>
      <c r="BS44" s="127"/>
      <c r="BT44" s="167">
        <f t="shared" si="44"/>
        <v>0.4459016393442623</v>
      </c>
      <c r="BU44" s="677"/>
      <c r="BV44" s="127">
        <v>17878</v>
      </c>
      <c r="BW44" s="127"/>
      <c r="BX44" s="127">
        <v>3744</v>
      </c>
      <c r="BY44" s="589"/>
      <c r="BZ44" s="678">
        <f t="shared" si="45"/>
        <v>-0.79058060185703094</v>
      </c>
      <c r="CD44" s="615"/>
      <c r="CE44" s="615">
        <f t="shared" ref="CE44:CE52" si="47">M44</f>
        <v>0</v>
      </c>
      <c r="CF44" s="615"/>
      <c r="CG44" s="615">
        <f t="shared" si="46"/>
        <v>0</v>
      </c>
      <c r="CH44" s="615">
        <v>0</v>
      </c>
      <c r="CI44" s="615"/>
      <c r="CJ44" s="616"/>
      <c r="CK44" s="616"/>
      <c r="CL44" s="616"/>
      <c r="CM44" s="616"/>
      <c r="CN44" s="616"/>
      <c r="CO44" s="616"/>
      <c r="CP44" s="616"/>
      <c r="CQ44" s="616"/>
      <c r="CR44" s="616"/>
      <c r="CS44" s="616"/>
    </row>
    <row r="45" spans="1:99" ht="16.5" customHeight="1">
      <c r="A45" s="1612"/>
      <c r="B45" s="1612"/>
      <c r="C45" s="285">
        <v>22.2</v>
      </c>
      <c r="D45" s="638" t="s">
        <v>1450</v>
      </c>
      <c r="E45" s="490" t="s">
        <v>259</v>
      </c>
      <c r="F45" s="275"/>
      <c r="G45" s="260"/>
      <c r="H45" s="275"/>
      <c r="I45" s="260"/>
      <c r="J45" s="601">
        <f t="shared" si="34"/>
        <v>5086</v>
      </c>
      <c r="K45" s="599"/>
      <c r="L45" s="601">
        <f t="shared" ref="L45:L51" si="48">AVERAGE(BX45,BR45,BL45,BF45,AZ45,AT45,AN45,AH45,AB45,V45)</f>
        <v>3627.8</v>
      </c>
      <c r="M45" s="597"/>
      <c r="N45" s="579">
        <f t="shared" si="14"/>
        <v>0</v>
      </c>
      <c r="O45" s="598">
        <f t="shared" si="1"/>
        <v>0</v>
      </c>
      <c r="P45" s="597">
        <f t="shared" si="15"/>
        <v>0</v>
      </c>
      <c r="Q45" s="977">
        <f t="shared" si="16"/>
        <v>0</v>
      </c>
      <c r="R45" s="978">
        <f t="shared" si="17"/>
        <v>0</v>
      </c>
      <c r="S45" s="677"/>
      <c r="T45" s="127">
        <v>1326</v>
      </c>
      <c r="U45" s="589"/>
      <c r="V45" s="127">
        <v>988</v>
      </c>
      <c r="W45" s="1006"/>
      <c r="X45" s="167">
        <f t="shared" si="36"/>
        <v>-0.25490196078431371</v>
      </c>
      <c r="Y45" s="677"/>
      <c r="Z45" s="127">
        <v>14275</v>
      </c>
      <c r="AA45" s="127"/>
      <c r="AB45" s="127">
        <v>15080</v>
      </c>
      <c r="AC45" s="1006"/>
      <c r="AD45" s="167">
        <f t="shared" si="37"/>
        <v>5.6392294220665606E-2</v>
      </c>
      <c r="AE45" s="677"/>
      <c r="AF45" s="127">
        <v>1005</v>
      </c>
      <c r="AG45" s="127"/>
      <c r="AH45" s="127">
        <v>1219</v>
      </c>
      <c r="AI45" s="127"/>
      <c r="AJ45" s="167">
        <f t="shared" si="38"/>
        <v>0.21293532338308463</v>
      </c>
      <c r="AK45" s="677"/>
      <c r="AL45" s="127">
        <v>1292</v>
      </c>
      <c r="AM45" s="127"/>
      <c r="AN45" s="127">
        <v>1593</v>
      </c>
      <c r="AO45" s="127"/>
      <c r="AP45" s="167">
        <f t="shared" si="39"/>
        <v>0.23297213622291024</v>
      </c>
      <c r="AQ45" s="677"/>
      <c r="AR45" s="127">
        <v>2504</v>
      </c>
      <c r="AS45" s="127"/>
      <c r="AT45" s="127">
        <v>1125</v>
      </c>
      <c r="AU45" s="127"/>
      <c r="AV45" s="167">
        <f t="shared" si="40"/>
        <v>-0.55071884984025554</v>
      </c>
      <c r="AW45" s="677"/>
      <c r="AX45" s="648">
        <v>1796</v>
      </c>
      <c r="AY45" s="127"/>
      <c r="AZ45" s="648">
        <v>1155</v>
      </c>
      <c r="BA45" s="127"/>
      <c r="BB45" s="167">
        <f t="shared" si="41"/>
        <v>-0.35690423162583518</v>
      </c>
      <c r="BC45" s="677"/>
      <c r="BD45" s="127">
        <v>8804</v>
      </c>
      <c r="BE45" s="127"/>
      <c r="BF45" s="127">
        <v>9117</v>
      </c>
      <c r="BG45" s="127"/>
      <c r="BH45" s="167">
        <f t="shared" si="42"/>
        <v>3.5552021808268996E-2</v>
      </c>
      <c r="BI45" s="677"/>
      <c r="BJ45" s="127">
        <v>1675</v>
      </c>
      <c r="BK45" s="127"/>
      <c r="BL45" s="127">
        <v>1816</v>
      </c>
      <c r="BM45" s="127"/>
      <c r="BN45" s="167">
        <f t="shared" si="43"/>
        <v>8.4179104477611899E-2</v>
      </c>
      <c r="BO45" s="677"/>
      <c r="BP45" s="127">
        <v>305</v>
      </c>
      <c r="BQ45" s="127"/>
      <c r="BR45" s="127">
        <v>441</v>
      </c>
      <c r="BS45" s="127"/>
      <c r="BT45" s="167">
        <f t="shared" si="44"/>
        <v>0.4459016393442623</v>
      </c>
      <c r="BU45" s="677"/>
      <c r="BV45" s="127">
        <v>17878</v>
      </c>
      <c r="BW45" s="127"/>
      <c r="BX45" s="127">
        <v>3744</v>
      </c>
      <c r="BY45" s="589"/>
      <c r="BZ45" s="678">
        <f t="shared" si="45"/>
        <v>-0.79058060185703094</v>
      </c>
      <c r="CD45" s="615"/>
      <c r="CE45" s="615">
        <f t="shared" si="47"/>
        <v>0</v>
      </c>
      <c r="CF45" s="615"/>
      <c r="CG45" s="615">
        <f t="shared" si="46"/>
        <v>0</v>
      </c>
      <c r="CH45" s="615">
        <v>0</v>
      </c>
      <c r="CI45" s="615"/>
      <c r="CJ45" s="616"/>
      <c r="CK45" s="616"/>
      <c r="CL45" s="616"/>
      <c r="CM45" s="616"/>
      <c r="CN45" s="616"/>
      <c r="CO45" s="616"/>
      <c r="CP45" s="616"/>
      <c r="CQ45" s="616"/>
      <c r="CR45" s="616"/>
      <c r="CS45" s="616"/>
    </row>
    <row r="46" spans="1:99" ht="20.25" customHeight="1">
      <c r="A46" s="1611" t="s">
        <v>1452</v>
      </c>
      <c r="B46" s="1611" t="s">
        <v>1453</v>
      </c>
      <c r="C46" s="284">
        <v>23</v>
      </c>
      <c r="D46" s="79" t="s">
        <v>1451</v>
      </c>
      <c r="E46" s="490" t="s">
        <v>259</v>
      </c>
      <c r="F46" s="275"/>
      <c r="G46" s="260" t="s">
        <v>490</v>
      </c>
      <c r="H46" s="275" t="s">
        <v>287</v>
      </c>
      <c r="I46" s="1628">
        <v>6</v>
      </c>
      <c r="J46" s="601">
        <f t="shared" si="34"/>
        <v>0</v>
      </c>
      <c r="K46" s="1636">
        <f>AVERAGE(BW46,BQ46,BK46,BE46,AY46,AS46,AM46,AG46,AA46,U46)</f>
        <v>6</v>
      </c>
      <c r="L46" s="601">
        <f t="shared" si="48"/>
        <v>0</v>
      </c>
      <c r="M46" s="1636">
        <f>AVERAGE(BY46,BS46,BM46,BG46,BA46,AU46,AO46,AI46,AC46,W46)</f>
        <v>6</v>
      </c>
      <c r="N46" s="579">
        <f t="shared" si="14"/>
        <v>0</v>
      </c>
      <c r="O46" s="598">
        <f t="shared" si="1"/>
        <v>0</v>
      </c>
      <c r="P46" s="597">
        <f t="shared" si="15"/>
        <v>0</v>
      </c>
      <c r="Q46" s="977">
        <f t="shared" si="16"/>
        <v>0</v>
      </c>
      <c r="R46" s="978">
        <f t="shared" si="17"/>
        <v>0</v>
      </c>
      <c r="S46" s="677"/>
      <c r="T46" s="634">
        <v>0</v>
      </c>
      <c r="U46" s="1583">
        <f>6-T46*2-T47*0.5</f>
        <v>6</v>
      </c>
      <c r="V46" s="634">
        <v>0</v>
      </c>
      <c r="W46" s="1583">
        <f>6-V46*2-V47*0.5</f>
        <v>6</v>
      </c>
      <c r="X46" s="167">
        <f t="shared" si="36"/>
        <v>0</v>
      </c>
      <c r="Y46" s="677"/>
      <c r="Z46" s="634">
        <v>0</v>
      </c>
      <c r="AA46" s="1625">
        <f>6-Z46*2-Z47*0.5</f>
        <v>6</v>
      </c>
      <c r="AB46" s="634">
        <v>0</v>
      </c>
      <c r="AC46" s="1583">
        <f>6-AB46*2-AB47*0.5</f>
        <v>6</v>
      </c>
      <c r="AD46" s="167">
        <f t="shared" si="37"/>
        <v>0</v>
      </c>
      <c r="AE46" s="677"/>
      <c r="AF46" s="634">
        <v>0</v>
      </c>
      <c r="AG46" s="1625">
        <f>6-AF46*2-AF47*0.5</f>
        <v>6</v>
      </c>
      <c r="AH46" s="634">
        <v>0</v>
      </c>
      <c r="AI46" s="1625">
        <f>6-AH46*2-AH47*0.5</f>
        <v>6</v>
      </c>
      <c r="AJ46" s="167">
        <f t="shared" si="38"/>
        <v>0</v>
      </c>
      <c r="AK46" s="677"/>
      <c r="AL46" s="634">
        <v>0</v>
      </c>
      <c r="AM46" s="1625">
        <f>6-AL46*2-AL47*0.5</f>
        <v>6</v>
      </c>
      <c r="AN46" s="634">
        <v>0</v>
      </c>
      <c r="AO46" s="1625">
        <f>6-AN46*2-AN47*0.5</f>
        <v>6</v>
      </c>
      <c r="AP46" s="167">
        <f t="shared" si="39"/>
        <v>0</v>
      </c>
      <c r="AQ46" s="677"/>
      <c r="AR46" s="634">
        <v>0</v>
      </c>
      <c r="AS46" s="1625">
        <f>6-AR46*2-AR47*0.5</f>
        <v>6</v>
      </c>
      <c r="AT46" s="634">
        <v>0</v>
      </c>
      <c r="AU46" s="1625">
        <f>6-AT46*2-AT47*0.5</f>
        <v>6</v>
      </c>
      <c r="AV46" s="167">
        <f t="shared" si="40"/>
        <v>0</v>
      </c>
      <c r="AW46" s="677"/>
      <c r="AX46" s="634">
        <v>0</v>
      </c>
      <c r="AY46" s="1625">
        <f>6-AX46*2-AX47*0.5</f>
        <v>6</v>
      </c>
      <c r="AZ46" s="634">
        <v>0</v>
      </c>
      <c r="BA46" s="1625">
        <f>6-AZ46*2-AZ47*0.5</f>
        <v>6</v>
      </c>
      <c r="BB46" s="167">
        <f t="shared" si="41"/>
        <v>0</v>
      </c>
      <c r="BC46" s="677"/>
      <c r="BD46" s="634">
        <v>0</v>
      </c>
      <c r="BE46" s="1625">
        <f>6-BD46*2-BD47*0.5</f>
        <v>6</v>
      </c>
      <c r="BF46" s="634">
        <v>0</v>
      </c>
      <c r="BG46" s="1625">
        <f>6-BF46*2-BF47*0.5</f>
        <v>6</v>
      </c>
      <c r="BH46" s="167">
        <f t="shared" si="42"/>
        <v>0</v>
      </c>
      <c r="BI46" s="677"/>
      <c r="BJ46" s="634">
        <v>0</v>
      </c>
      <c r="BK46" s="1625">
        <f>6-BJ46*2-BJ47*0.5</f>
        <v>6</v>
      </c>
      <c r="BL46" s="634">
        <v>0</v>
      </c>
      <c r="BM46" s="1625">
        <f>6-BL46*2-BL47*0.5</f>
        <v>6</v>
      </c>
      <c r="BN46" s="167">
        <f t="shared" si="43"/>
        <v>0</v>
      </c>
      <c r="BO46" s="677"/>
      <c r="BP46" s="634">
        <v>0</v>
      </c>
      <c r="BQ46" s="1625">
        <f>6-BP46*2-BP47*0.5</f>
        <v>6</v>
      </c>
      <c r="BR46" s="634">
        <v>0</v>
      </c>
      <c r="BS46" s="1625">
        <f>6-BR46*2-BR47*0.5</f>
        <v>6</v>
      </c>
      <c r="BT46" s="167">
        <f t="shared" si="44"/>
        <v>0</v>
      </c>
      <c r="BU46" s="677"/>
      <c r="BV46" s="634">
        <v>0</v>
      </c>
      <c r="BW46" s="1625">
        <f>6-BV46*2-BV47*0.5</f>
        <v>6</v>
      </c>
      <c r="BX46" s="634">
        <v>0</v>
      </c>
      <c r="BY46" s="1583">
        <f>6-BX46*2-BX47*0.5</f>
        <v>6</v>
      </c>
      <c r="BZ46" s="678">
        <f t="shared" si="45"/>
        <v>0</v>
      </c>
      <c r="CD46" s="615">
        <v>1</v>
      </c>
      <c r="CE46" s="615">
        <f t="shared" si="47"/>
        <v>6</v>
      </c>
      <c r="CF46" s="615">
        <v>1</v>
      </c>
      <c r="CG46" s="615">
        <f t="shared" si="46"/>
        <v>6</v>
      </c>
      <c r="CH46" s="615">
        <v>0</v>
      </c>
      <c r="CI46" s="615"/>
      <c r="CJ46" s="616"/>
      <c r="CK46" s="616"/>
      <c r="CL46" s="616"/>
      <c r="CM46" s="616"/>
      <c r="CN46" s="616"/>
      <c r="CO46" s="616"/>
      <c r="CP46" s="616"/>
      <c r="CQ46" s="616"/>
      <c r="CR46" s="616"/>
      <c r="CS46" s="616"/>
    </row>
    <row r="47" spans="1:99" ht="16.5" customHeight="1">
      <c r="A47" s="1612"/>
      <c r="B47" s="1612"/>
      <c r="C47" s="284">
        <v>24</v>
      </c>
      <c r="D47" s="79" t="s">
        <v>1801</v>
      </c>
      <c r="E47" s="490" t="s">
        <v>259</v>
      </c>
      <c r="F47" s="275"/>
      <c r="G47" s="260" t="s">
        <v>490</v>
      </c>
      <c r="H47" s="275" t="s">
        <v>287</v>
      </c>
      <c r="I47" s="1628"/>
      <c r="J47" s="601">
        <f t="shared" si="34"/>
        <v>0</v>
      </c>
      <c r="K47" s="1637"/>
      <c r="L47" s="601">
        <f t="shared" si="48"/>
        <v>0</v>
      </c>
      <c r="M47" s="1637"/>
      <c r="N47" s="579">
        <f t="shared" si="14"/>
        <v>0</v>
      </c>
      <c r="O47" s="598">
        <f t="shared" si="1"/>
        <v>0</v>
      </c>
      <c r="P47" s="597">
        <f t="shared" si="15"/>
        <v>0</v>
      </c>
      <c r="Q47" s="977">
        <f t="shared" si="16"/>
        <v>0</v>
      </c>
      <c r="R47" s="978">
        <f t="shared" si="17"/>
        <v>0</v>
      </c>
      <c r="S47" s="677"/>
      <c r="T47" s="634">
        <v>0</v>
      </c>
      <c r="U47" s="1583"/>
      <c r="V47" s="634">
        <v>0</v>
      </c>
      <c r="W47" s="1583"/>
      <c r="X47" s="167">
        <f t="shared" si="36"/>
        <v>0</v>
      </c>
      <c r="Y47" s="677"/>
      <c r="Z47" s="634">
        <v>0</v>
      </c>
      <c r="AA47" s="1625"/>
      <c r="AB47" s="634">
        <v>0</v>
      </c>
      <c r="AC47" s="1583"/>
      <c r="AD47" s="167">
        <f t="shared" si="37"/>
        <v>0</v>
      </c>
      <c r="AE47" s="677"/>
      <c r="AF47" s="634">
        <v>0</v>
      </c>
      <c r="AG47" s="1625"/>
      <c r="AH47" s="634">
        <v>0</v>
      </c>
      <c r="AI47" s="1625"/>
      <c r="AJ47" s="167">
        <f t="shared" si="38"/>
        <v>0</v>
      </c>
      <c r="AK47" s="677"/>
      <c r="AL47" s="634">
        <v>0</v>
      </c>
      <c r="AM47" s="1625"/>
      <c r="AN47" s="634">
        <v>0</v>
      </c>
      <c r="AO47" s="1625"/>
      <c r="AP47" s="167">
        <f t="shared" si="39"/>
        <v>0</v>
      </c>
      <c r="AQ47" s="677"/>
      <c r="AR47" s="634">
        <v>0</v>
      </c>
      <c r="AS47" s="1625"/>
      <c r="AT47" s="634">
        <v>0</v>
      </c>
      <c r="AU47" s="1625"/>
      <c r="AV47" s="167">
        <f t="shared" si="40"/>
        <v>0</v>
      </c>
      <c r="AW47" s="677"/>
      <c r="AX47" s="634">
        <v>0</v>
      </c>
      <c r="AY47" s="1625"/>
      <c r="AZ47" s="634">
        <v>0</v>
      </c>
      <c r="BA47" s="1625"/>
      <c r="BB47" s="167">
        <f t="shared" si="41"/>
        <v>0</v>
      </c>
      <c r="BC47" s="677"/>
      <c r="BD47" s="634">
        <v>0</v>
      </c>
      <c r="BE47" s="1625"/>
      <c r="BF47" s="634">
        <v>0</v>
      </c>
      <c r="BG47" s="1625"/>
      <c r="BH47" s="167">
        <f t="shared" si="42"/>
        <v>0</v>
      </c>
      <c r="BI47" s="677"/>
      <c r="BJ47" s="634">
        <v>0</v>
      </c>
      <c r="BK47" s="1625"/>
      <c r="BL47" s="634">
        <v>0</v>
      </c>
      <c r="BM47" s="1625"/>
      <c r="BN47" s="167">
        <f t="shared" si="43"/>
        <v>0</v>
      </c>
      <c r="BO47" s="677"/>
      <c r="BP47" s="634">
        <v>0</v>
      </c>
      <c r="BQ47" s="1625"/>
      <c r="BR47" s="634">
        <v>0</v>
      </c>
      <c r="BS47" s="1625"/>
      <c r="BT47" s="167">
        <f t="shared" si="44"/>
        <v>0</v>
      </c>
      <c r="BU47" s="677"/>
      <c r="BV47" s="634">
        <v>0</v>
      </c>
      <c r="BW47" s="1625"/>
      <c r="BX47" s="634">
        <v>0</v>
      </c>
      <c r="BY47" s="1583"/>
      <c r="BZ47" s="678">
        <f t="shared" si="45"/>
        <v>0</v>
      </c>
      <c r="CD47" s="615">
        <v>1</v>
      </c>
      <c r="CE47" s="615">
        <f t="shared" si="47"/>
        <v>0</v>
      </c>
      <c r="CF47" s="615">
        <v>1</v>
      </c>
      <c r="CG47" s="615">
        <f t="shared" si="46"/>
        <v>0</v>
      </c>
      <c r="CH47" s="615">
        <v>0</v>
      </c>
      <c r="CI47" s="615"/>
      <c r="CJ47" s="616"/>
      <c r="CK47" s="616"/>
      <c r="CL47" s="616"/>
      <c r="CM47" s="616"/>
      <c r="CN47" s="616"/>
      <c r="CO47" s="616"/>
      <c r="CP47" s="616"/>
      <c r="CQ47" s="616"/>
      <c r="CR47" s="616"/>
      <c r="CS47" s="616"/>
    </row>
    <row r="48" spans="1:99" ht="20.25" customHeight="1">
      <c r="A48" s="437" t="s">
        <v>1455</v>
      </c>
      <c r="B48" s="437" t="s">
        <v>1456</v>
      </c>
      <c r="C48" s="284">
        <v>25</v>
      </c>
      <c r="D48" s="79" t="s">
        <v>1454</v>
      </c>
      <c r="E48" s="490" t="s">
        <v>259</v>
      </c>
      <c r="F48" s="275"/>
      <c r="G48" s="260" t="s">
        <v>490</v>
      </c>
      <c r="H48" s="275" t="s">
        <v>287</v>
      </c>
      <c r="I48" s="635">
        <v>5</v>
      </c>
      <c r="J48" s="601">
        <f t="shared" si="34"/>
        <v>0</v>
      </c>
      <c r="K48" s="599">
        <f>AVERAGE(BW48,BQ48,BK48,BE48,AY48,AS48,AM48,AG48,AA48,U48)</f>
        <v>5</v>
      </c>
      <c r="L48" s="601">
        <f t="shared" si="48"/>
        <v>0</v>
      </c>
      <c r="M48" s="597">
        <f>AVERAGE(BY48,BS48,BM48,BG48,BA48,AU48,AO48,AI48,AC48,W48)</f>
        <v>5</v>
      </c>
      <c r="N48" s="579">
        <f t="shared" si="14"/>
        <v>0</v>
      </c>
      <c r="O48" s="598">
        <f t="shared" si="1"/>
        <v>0</v>
      </c>
      <c r="P48" s="597">
        <f t="shared" si="15"/>
        <v>0</v>
      </c>
      <c r="Q48" s="977">
        <f t="shared" si="16"/>
        <v>0</v>
      </c>
      <c r="R48" s="978">
        <f t="shared" si="17"/>
        <v>0</v>
      </c>
      <c r="S48" s="677"/>
      <c r="T48" s="634">
        <v>0</v>
      </c>
      <c r="U48" s="631">
        <f>IF(T48=0,5,IF(T48&lt;=3,2,0))</f>
        <v>5</v>
      </c>
      <c r="V48" s="634">
        <v>0</v>
      </c>
      <c r="W48" s="997">
        <f>IF(V48=0,5,IF(V48&lt;=3,2,0))</f>
        <v>5</v>
      </c>
      <c r="X48" s="167">
        <f t="shared" si="36"/>
        <v>0</v>
      </c>
      <c r="Y48" s="677"/>
      <c r="Z48" s="634">
        <v>0</v>
      </c>
      <c r="AA48" s="634">
        <f>IF(Z48=0,5,IF(Z48&lt;=3,2,0))</f>
        <v>5</v>
      </c>
      <c r="AB48" s="634">
        <v>0</v>
      </c>
      <c r="AC48" s="997">
        <f>IF(AB48=0,5,IF(AB48&lt;=3,2,0))</f>
        <v>5</v>
      </c>
      <c r="AD48" s="167">
        <f t="shared" si="37"/>
        <v>0</v>
      </c>
      <c r="AE48" s="677"/>
      <c r="AF48" s="634">
        <v>0</v>
      </c>
      <c r="AG48" s="634">
        <f>IF(AF48=0,5,IF(AF48&lt;=3,2,0))</f>
        <v>5</v>
      </c>
      <c r="AH48" s="634">
        <v>0</v>
      </c>
      <c r="AI48" s="634">
        <f>IF(AH48=0,5,IF(AH48&lt;=3,2,0))</f>
        <v>5</v>
      </c>
      <c r="AJ48" s="167">
        <f t="shared" si="38"/>
        <v>0</v>
      </c>
      <c r="AK48" s="677"/>
      <c r="AL48" s="634">
        <v>0</v>
      </c>
      <c r="AM48" s="634">
        <f>IF(AL48=0,5,IF(AL48&lt;=3,2,0))</f>
        <v>5</v>
      </c>
      <c r="AN48" s="634">
        <v>0</v>
      </c>
      <c r="AO48" s="634">
        <f>IF(AN48=0,5,IF(AN48&lt;=3,2,0))</f>
        <v>5</v>
      </c>
      <c r="AP48" s="167">
        <f t="shared" si="39"/>
        <v>0</v>
      </c>
      <c r="AQ48" s="677"/>
      <c r="AR48" s="634">
        <v>0</v>
      </c>
      <c r="AS48" s="634">
        <f>IF(AR48=0,5,IF(AR48&lt;=3,2,0))</f>
        <v>5</v>
      </c>
      <c r="AT48" s="634">
        <v>0</v>
      </c>
      <c r="AU48" s="634">
        <f>IF(AT48=0,5,IF(AT48&lt;=3,2,0))</f>
        <v>5</v>
      </c>
      <c r="AV48" s="167">
        <f t="shared" si="40"/>
        <v>0</v>
      </c>
      <c r="AW48" s="677"/>
      <c r="AX48" s="634">
        <v>0</v>
      </c>
      <c r="AY48" s="634">
        <f>IF(AX48=0,5,IF(AX48&lt;=3,2,0))</f>
        <v>5</v>
      </c>
      <c r="AZ48" s="634">
        <v>0</v>
      </c>
      <c r="BA48" s="634">
        <f>IF(AZ48=0,5,IF(AZ48&lt;=3,2,0))</f>
        <v>5</v>
      </c>
      <c r="BB48" s="167">
        <f t="shared" si="41"/>
        <v>0</v>
      </c>
      <c r="BC48" s="677"/>
      <c r="BD48" s="634">
        <v>0</v>
      </c>
      <c r="BE48" s="634">
        <f>IF(BD48=0,5,IF(BD48&lt;=3,2,0))</f>
        <v>5</v>
      </c>
      <c r="BF48" s="634">
        <v>0</v>
      </c>
      <c r="BG48" s="634">
        <f>IF(BF48=0,5,IF(BF48&lt;=3,2,0))</f>
        <v>5</v>
      </c>
      <c r="BH48" s="167">
        <f t="shared" si="42"/>
        <v>0</v>
      </c>
      <c r="BI48" s="677"/>
      <c r="BJ48" s="634">
        <v>0</v>
      </c>
      <c r="BK48" s="634">
        <f>IF(BJ48=0,5,IF(BJ48&lt;=3,2,0))</f>
        <v>5</v>
      </c>
      <c r="BL48" s="634">
        <v>0</v>
      </c>
      <c r="BM48" s="634">
        <f>IF(BL48=0,5,IF(BL48&lt;=3,2,0))</f>
        <v>5</v>
      </c>
      <c r="BN48" s="167">
        <f t="shared" si="43"/>
        <v>0</v>
      </c>
      <c r="BO48" s="677"/>
      <c r="BP48" s="634">
        <v>0</v>
      </c>
      <c r="BQ48" s="634">
        <f>IF(BP48=0,5,IF(BP48&lt;=3,2,0))</f>
        <v>5</v>
      </c>
      <c r="BR48" s="634">
        <v>0</v>
      </c>
      <c r="BS48" s="634">
        <f>IF(BR48=0,5,IF(BR48&lt;=3,2,0))</f>
        <v>5</v>
      </c>
      <c r="BT48" s="167">
        <f t="shared" si="44"/>
        <v>0</v>
      </c>
      <c r="BU48" s="677"/>
      <c r="BV48" s="634">
        <v>0</v>
      </c>
      <c r="BW48" s="634">
        <f>IF(BV48=0,5,IF(BV48&lt;=3,2,0))</f>
        <v>5</v>
      </c>
      <c r="BX48" s="634">
        <v>0</v>
      </c>
      <c r="BY48" s="631">
        <f>IF(BX48=0,5,IF(BX48&lt;=3,2,0))</f>
        <v>5</v>
      </c>
      <c r="BZ48" s="678">
        <f t="shared" si="45"/>
        <v>0</v>
      </c>
      <c r="CD48" s="615"/>
      <c r="CE48" s="615">
        <f t="shared" si="47"/>
        <v>5</v>
      </c>
      <c r="CF48" s="615">
        <v>1</v>
      </c>
      <c r="CG48" s="615">
        <f t="shared" si="46"/>
        <v>5</v>
      </c>
      <c r="CH48" s="615">
        <v>0</v>
      </c>
      <c r="CI48" s="615"/>
      <c r="CJ48" s="616"/>
      <c r="CK48" s="616"/>
      <c r="CL48" s="616"/>
      <c r="CM48" s="616"/>
      <c r="CN48" s="616"/>
      <c r="CO48" s="616"/>
      <c r="CP48" s="616"/>
      <c r="CQ48" s="616"/>
      <c r="CR48" s="616"/>
      <c r="CS48" s="616"/>
    </row>
    <row r="49" spans="1:98" ht="16.5" customHeight="1">
      <c r="A49" s="437" t="s">
        <v>1313</v>
      </c>
      <c r="B49" s="437" t="s">
        <v>1458</v>
      </c>
      <c r="C49" s="284">
        <v>26</v>
      </c>
      <c r="D49" s="79" t="s">
        <v>1457</v>
      </c>
      <c r="E49" s="490" t="s">
        <v>259</v>
      </c>
      <c r="F49" s="275"/>
      <c r="G49" s="260" t="s">
        <v>490</v>
      </c>
      <c r="H49" s="275" t="s">
        <v>287</v>
      </c>
      <c r="I49" s="635" t="s">
        <v>554</v>
      </c>
      <c r="J49" s="601">
        <f t="shared" si="34"/>
        <v>0</v>
      </c>
      <c r="K49" s="580"/>
      <c r="L49" s="601">
        <f t="shared" si="48"/>
        <v>0</v>
      </c>
      <c r="M49" s="580"/>
      <c r="N49" s="579">
        <f t="shared" si="14"/>
        <v>0</v>
      </c>
      <c r="O49" s="580"/>
      <c r="P49" s="979"/>
      <c r="Q49" s="979"/>
      <c r="R49" s="979"/>
      <c r="S49" s="677"/>
      <c r="T49" s="634">
        <v>0</v>
      </c>
      <c r="U49" s="631" t="s">
        <v>1315</v>
      </c>
      <c r="V49" s="634">
        <v>0</v>
      </c>
      <c r="W49" s="997" t="str">
        <f>IF(V49=0,"不扣分",-10*V49)</f>
        <v>不扣分</v>
      </c>
      <c r="X49" s="167">
        <f t="shared" si="36"/>
        <v>0</v>
      </c>
      <c r="Y49" s="677"/>
      <c r="Z49" s="634">
        <v>0</v>
      </c>
      <c r="AA49" s="634" t="s">
        <v>1315</v>
      </c>
      <c r="AB49" s="634">
        <v>0</v>
      </c>
      <c r="AC49" s="634" t="str">
        <f>IF(AB49=0,"不扣分",-10*AB49)</f>
        <v>不扣分</v>
      </c>
      <c r="AD49" s="167">
        <f t="shared" si="37"/>
        <v>0</v>
      </c>
      <c r="AE49" s="677"/>
      <c r="AF49" s="634">
        <v>0</v>
      </c>
      <c r="AG49" s="634" t="s">
        <v>1178</v>
      </c>
      <c r="AH49" s="634">
        <v>0</v>
      </c>
      <c r="AI49" s="634" t="str">
        <f>IF(AH49=0,"不扣分",-10*AH49)</f>
        <v>不扣分</v>
      </c>
      <c r="AJ49" s="167">
        <f t="shared" si="38"/>
        <v>0</v>
      </c>
      <c r="AK49" s="677"/>
      <c r="AL49" s="634">
        <v>0</v>
      </c>
      <c r="AM49" s="634" t="s">
        <v>1178</v>
      </c>
      <c r="AN49" s="634">
        <v>0</v>
      </c>
      <c r="AO49" s="634" t="str">
        <f>IF(AN49=0,"不扣分",-10*AN49)</f>
        <v>不扣分</v>
      </c>
      <c r="AP49" s="167">
        <f t="shared" si="39"/>
        <v>0</v>
      </c>
      <c r="AQ49" s="677"/>
      <c r="AR49" s="634">
        <v>0</v>
      </c>
      <c r="AS49" s="634" t="s">
        <v>1178</v>
      </c>
      <c r="AT49" s="634">
        <v>0</v>
      </c>
      <c r="AU49" s="634" t="str">
        <f>IF(AT49=0,"不扣分",-10*AT49)</f>
        <v>不扣分</v>
      </c>
      <c r="AV49" s="167">
        <f t="shared" si="40"/>
        <v>0</v>
      </c>
      <c r="AW49" s="677"/>
      <c r="AX49" s="634">
        <v>0</v>
      </c>
      <c r="AY49" s="634" t="s">
        <v>1178</v>
      </c>
      <c r="AZ49" s="634">
        <v>0</v>
      </c>
      <c r="BA49" s="634" t="str">
        <f>IF(AZ49=0,"不扣分",-10*AZ49)</f>
        <v>不扣分</v>
      </c>
      <c r="BB49" s="167">
        <f t="shared" si="41"/>
        <v>0</v>
      </c>
      <c r="BC49" s="677"/>
      <c r="BD49" s="634">
        <v>0</v>
      </c>
      <c r="BE49" s="634" t="s">
        <v>1178</v>
      </c>
      <c r="BF49" s="634">
        <v>0</v>
      </c>
      <c r="BG49" s="634" t="str">
        <f>IF(BF49=0,"不扣分",-10*BF49)</f>
        <v>不扣分</v>
      </c>
      <c r="BH49" s="167">
        <f t="shared" si="42"/>
        <v>0</v>
      </c>
      <c r="BI49" s="677"/>
      <c r="BJ49" s="634">
        <v>0</v>
      </c>
      <c r="BK49" s="634" t="s">
        <v>1178</v>
      </c>
      <c r="BL49" s="634">
        <v>0</v>
      </c>
      <c r="BM49" s="634" t="str">
        <f>IF(BL49=0,"不扣分",-10*BL49)</f>
        <v>不扣分</v>
      </c>
      <c r="BN49" s="167">
        <f t="shared" si="43"/>
        <v>0</v>
      </c>
      <c r="BO49" s="677"/>
      <c r="BP49" s="634">
        <v>0</v>
      </c>
      <c r="BQ49" s="634" t="s">
        <v>1178</v>
      </c>
      <c r="BR49" s="634">
        <v>0</v>
      </c>
      <c r="BS49" s="634" t="str">
        <f>IF(BR49=0,"不扣分",-10*BR49)</f>
        <v>不扣分</v>
      </c>
      <c r="BT49" s="167">
        <f t="shared" si="44"/>
        <v>0</v>
      </c>
      <c r="BU49" s="677"/>
      <c r="BV49" s="634">
        <v>0</v>
      </c>
      <c r="BW49" s="634" t="s">
        <v>1178</v>
      </c>
      <c r="BX49" s="634">
        <v>0</v>
      </c>
      <c r="BY49" s="631" t="str">
        <f>IF(BX49=0,"不扣分",-10*BX49)</f>
        <v>不扣分</v>
      </c>
      <c r="BZ49" s="678">
        <f t="shared" si="45"/>
        <v>0</v>
      </c>
      <c r="CD49" s="615">
        <v>1</v>
      </c>
      <c r="CE49" s="615">
        <f t="shared" si="47"/>
        <v>0</v>
      </c>
      <c r="CF49" s="615">
        <v>1</v>
      </c>
      <c r="CG49" s="615">
        <f t="shared" si="46"/>
        <v>0</v>
      </c>
      <c r="CH49" s="615">
        <v>0</v>
      </c>
      <c r="CI49" s="615"/>
      <c r="CJ49" s="616"/>
      <c r="CK49" s="616"/>
      <c r="CL49" s="616"/>
      <c r="CM49" s="616"/>
      <c r="CN49" s="616"/>
      <c r="CO49" s="616"/>
      <c r="CP49" s="616"/>
      <c r="CQ49" s="616"/>
      <c r="CR49" s="616"/>
      <c r="CS49" s="616"/>
    </row>
    <row r="50" spans="1:98" ht="21.75" customHeight="1">
      <c r="A50" s="1611" t="s">
        <v>1460</v>
      </c>
      <c r="B50" s="1611" t="s">
        <v>1461</v>
      </c>
      <c r="C50" s="284">
        <v>27</v>
      </c>
      <c r="D50" s="79" t="s">
        <v>1459</v>
      </c>
      <c r="E50" s="490" t="s">
        <v>1870</v>
      </c>
      <c r="F50" s="275"/>
      <c r="G50" s="260" t="s">
        <v>1838</v>
      </c>
      <c r="H50" s="275" t="s">
        <v>1871</v>
      </c>
      <c r="I50" s="1628">
        <v>3</v>
      </c>
      <c r="J50" s="601">
        <f t="shared" si="34"/>
        <v>0</v>
      </c>
      <c r="K50" s="1636">
        <f>AVERAGE(BW50,BQ50,BK50,BE50,AY50,AS50,AM50,AG50,AA50,U50)</f>
        <v>3</v>
      </c>
      <c r="L50" s="601">
        <f t="shared" si="48"/>
        <v>0</v>
      </c>
      <c r="M50" s="1636">
        <f>AVERAGE(BY50,BS50,BM50,BG50,BA50,AU50,AO50,AI50,AC50,W50)</f>
        <v>3</v>
      </c>
      <c r="N50" s="579">
        <f t="shared" si="14"/>
        <v>0</v>
      </c>
      <c r="O50" s="598">
        <f>I50-M50</f>
        <v>0</v>
      </c>
      <c r="P50" s="597">
        <f t="shared" si="15"/>
        <v>0</v>
      </c>
      <c r="Q50" s="977">
        <f t="shared" si="16"/>
        <v>0</v>
      </c>
      <c r="R50" s="978">
        <f t="shared" si="17"/>
        <v>0</v>
      </c>
      <c r="S50" s="677"/>
      <c r="T50" s="634">
        <v>0</v>
      </c>
      <c r="U50" s="1583">
        <f>3-T50-T51*0.5</f>
        <v>3</v>
      </c>
      <c r="V50" s="634">
        <v>0</v>
      </c>
      <c r="W50" s="1583">
        <f>3-V50-V51*0.5</f>
        <v>3</v>
      </c>
      <c r="X50" s="167">
        <f t="shared" si="36"/>
        <v>0</v>
      </c>
      <c r="Y50" s="677"/>
      <c r="Z50" s="634">
        <v>0</v>
      </c>
      <c r="AA50" s="1625">
        <f>3-Z50-Z51*0.5</f>
        <v>3</v>
      </c>
      <c r="AB50" s="634">
        <v>0</v>
      </c>
      <c r="AC50" s="1625">
        <f>3-AB50-AB51*0.5</f>
        <v>3</v>
      </c>
      <c r="AD50" s="167">
        <f t="shared" si="37"/>
        <v>0</v>
      </c>
      <c r="AE50" s="677"/>
      <c r="AF50" s="634">
        <v>0</v>
      </c>
      <c r="AG50" s="1625">
        <f>3-AF50-AF51*0.5</f>
        <v>3</v>
      </c>
      <c r="AH50" s="634">
        <v>0</v>
      </c>
      <c r="AI50" s="1625">
        <f>3-AH50-AH51*0.5</f>
        <v>3</v>
      </c>
      <c r="AJ50" s="167">
        <f t="shared" si="38"/>
        <v>0</v>
      </c>
      <c r="AK50" s="677"/>
      <c r="AL50" s="634">
        <v>0</v>
      </c>
      <c r="AM50" s="1625">
        <f>3-AL50-AL51*0.5</f>
        <v>3</v>
      </c>
      <c r="AN50" s="634">
        <v>0</v>
      </c>
      <c r="AO50" s="1625">
        <f>3-AN50-AN51*0.5</f>
        <v>3</v>
      </c>
      <c r="AP50" s="167">
        <f t="shared" si="39"/>
        <v>0</v>
      </c>
      <c r="AQ50" s="677"/>
      <c r="AR50" s="634">
        <v>0</v>
      </c>
      <c r="AS50" s="1625">
        <f>3-AR50-AR51*0.5</f>
        <v>3</v>
      </c>
      <c r="AT50" s="634">
        <v>0</v>
      </c>
      <c r="AU50" s="1625">
        <f>3-AT50-AT51*0.5</f>
        <v>3</v>
      </c>
      <c r="AV50" s="167">
        <f t="shared" si="40"/>
        <v>0</v>
      </c>
      <c r="AW50" s="677"/>
      <c r="AX50" s="634">
        <v>0</v>
      </c>
      <c r="AY50" s="1625">
        <f>3-AX50-AX51*0.5</f>
        <v>3</v>
      </c>
      <c r="AZ50" s="634">
        <v>0</v>
      </c>
      <c r="BA50" s="1625">
        <f>3-AZ50-AZ51*0.5</f>
        <v>3</v>
      </c>
      <c r="BB50" s="167">
        <f t="shared" si="41"/>
        <v>0</v>
      </c>
      <c r="BC50" s="677"/>
      <c r="BD50" s="634">
        <v>0</v>
      </c>
      <c r="BE50" s="1625">
        <f>3-BD50-BD51*0.5</f>
        <v>3</v>
      </c>
      <c r="BF50" s="634">
        <v>0</v>
      </c>
      <c r="BG50" s="1625">
        <f>3-BF50-BF51*0.5</f>
        <v>3</v>
      </c>
      <c r="BH50" s="167">
        <f t="shared" si="42"/>
        <v>0</v>
      </c>
      <c r="BI50" s="677"/>
      <c r="BJ50" s="634">
        <v>0</v>
      </c>
      <c r="BK50" s="1625">
        <f>3-BJ50-BJ51*0.5</f>
        <v>3</v>
      </c>
      <c r="BL50" s="634">
        <v>0</v>
      </c>
      <c r="BM50" s="1625">
        <f>3-BL50-BL51*0.5</f>
        <v>3</v>
      </c>
      <c r="BN50" s="167">
        <f t="shared" si="43"/>
        <v>0</v>
      </c>
      <c r="BO50" s="677"/>
      <c r="BP50" s="634">
        <v>0</v>
      </c>
      <c r="BQ50" s="1625">
        <f>3-BP50-BP51*0.5</f>
        <v>3</v>
      </c>
      <c r="BR50" s="634">
        <v>0</v>
      </c>
      <c r="BS50" s="1625">
        <f>3-BR50-BR51*0.5</f>
        <v>3</v>
      </c>
      <c r="BT50" s="167">
        <f t="shared" si="44"/>
        <v>0</v>
      </c>
      <c r="BU50" s="677"/>
      <c r="BV50" s="634">
        <v>0</v>
      </c>
      <c r="BW50" s="1625">
        <f>3-BV50-BV51*0.5</f>
        <v>3</v>
      </c>
      <c r="BX50" s="634">
        <v>0</v>
      </c>
      <c r="BY50" s="1583">
        <f>3-BX50-BX51*0.5</f>
        <v>3</v>
      </c>
      <c r="BZ50" s="678">
        <f t="shared" si="45"/>
        <v>0</v>
      </c>
      <c r="CD50" s="615">
        <v>1</v>
      </c>
      <c r="CE50" s="615">
        <f t="shared" si="47"/>
        <v>3</v>
      </c>
      <c r="CF50" s="618">
        <v>1</v>
      </c>
      <c r="CG50" s="615">
        <f t="shared" si="46"/>
        <v>3</v>
      </c>
      <c r="CH50" s="615">
        <v>1</v>
      </c>
      <c r="CI50" s="615">
        <f>M50</f>
        <v>3</v>
      </c>
      <c r="CJ50" s="616"/>
      <c r="CK50" s="616"/>
      <c r="CL50" s="616"/>
      <c r="CM50" s="616"/>
      <c r="CN50" s="616"/>
      <c r="CO50" s="616"/>
      <c r="CP50" s="616"/>
      <c r="CQ50" s="616"/>
      <c r="CR50" s="616"/>
      <c r="CS50" s="616"/>
    </row>
    <row r="51" spans="1:98" ht="22.5" customHeight="1">
      <c r="A51" s="1612"/>
      <c r="B51" s="1612"/>
      <c r="C51" s="284">
        <v>28</v>
      </c>
      <c r="D51" s="79" t="s">
        <v>1462</v>
      </c>
      <c r="E51" s="490" t="s">
        <v>1870</v>
      </c>
      <c r="F51" s="275"/>
      <c r="G51" s="260" t="s">
        <v>1838</v>
      </c>
      <c r="H51" s="275" t="s">
        <v>1871</v>
      </c>
      <c r="I51" s="1628"/>
      <c r="J51" s="601">
        <f t="shared" si="34"/>
        <v>0</v>
      </c>
      <c r="K51" s="1637"/>
      <c r="L51" s="601">
        <f t="shared" si="48"/>
        <v>0</v>
      </c>
      <c r="M51" s="1637"/>
      <c r="N51" s="579">
        <f t="shared" si="14"/>
        <v>0</v>
      </c>
      <c r="O51" s="598">
        <f>I51-M51</f>
        <v>0</v>
      </c>
      <c r="P51" s="597">
        <f t="shared" si="15"/>
        <v>0</v>
      </c>
      <c r="Q51" s="977">
        <f t="shared" si="16"/>
        <v>0</v>
      </c>
      <c r="R51" s="978">
        <f t="shared" si="17"/>
        <v>0</v>
      </c>
      <c r="S51" s="677"/>
      <c r="T51" s="634">
        <v>0</v>
      </c>
      <c r="U51" s="1583"/>
      <c r="V51" s="634">
        <v>0</v>
      </c>
      <c r="W51" s="1583"/>
      <c r="X51" s="167">
        <f t="shared" si="36"/>
        <v>0</v>
      </c>
      <c r="Y51" s="677"/>
      <c r="Z51" s="634">
        <v>0</v>
      </c>
      <c r="AA51" s="1625"/>
      <c r="AB51" s="634">
        <v>0</v>
      </c>
      <c r="AC51" s="1625"/>
      <c r="AD51" s="167">
        <f t="shared" si="37"/>
        <v>0</v>
      </c>
      <c r="AE51" s="677"/>
      <c r="AF51" s="634">
        <v>0</v>
      </c>
      <c r="AG51" s="1625"/>
      <c r="AH51" s="634">
        <v>0</v>
      </c>
      <c r="AI51" s="1625"/>
      <c r="AJ51" s="167">
        <f t="shared" si="38"/>
        <v>0</v>
      </c>
      <c r="AK51" s="677"/>
      <c r="AL51" s="634">
        <v>0</v>
      </c>
      <c r="AM51" s="1625"/>
      <c r="AN51" s="634">
        <v>0</v>
      </c>
      <c r="AO51" s="1625"/>
      <c r="AP51" s="167">
        <f t="shared" si="39"/>
        <v>0</v>
      </c>
      <c r="AQ51" s="677"/>
      <c r="AR51" s="634">
        <v>0</v>
      </c>
      <c r="AS51" s="1625"/>
      <c r="AT51" s="634">
        <v>0</v>
      </c>
      <c r="AU51" s="1625"/>
      <c r="AV51" s="167">
        <f t="shared" si="40"/>
        <v>0</v>
      </c>
      <c r="AW51" s="677"/>
      <c r="AX51" s="634">
        <v>0</v>
      </c>
      <c r="AY51" s="1625"/>
      <c r="AZ51" s="634">
        <v>0</v>
      </c>
      <c r="BA51" s="1625"/>
      <c r="BB51" s="167">
        <f t="shared" si="41"/>
        <v>0</v>
      </c>
      <c r="BC51" s="677"/>
      <c r="BD51" s="634">
        <v>0</v>
      </c>
      <c r="BE51" s="1625"/>
      <c r="BF51" s="634">
        <v>0</v>
      </c>
      <c r="BG51" s="1625"/>
      <c r="BH51" s="167">
        <f t="shared" si="42"/>
        <v>0</v>
      </c>
      <c r="BI51" s="677"/>
      <c r="BJ51" s="634">
        <v>0</v>
      </c>
      <c r="BK51" s="1625"/>
      <c r="BL51" s="634">
        <v>0</v>
      </c>
      <c r="BM51" s="1625"/>
      <c r="BN51" s="167">
        <f t="shared" si="43"/>
        <v>0</v>
      </c>
      <c r="BO51" s="677"/>
      <c r="BP51" s="634">
        <v>0</v>
      </c>
      <c r="BQ51" s="1625"/>
      <c r="BR51" s="634">
        <v>0</v>
      </c>
      <c r="BS51" s="1625"/>
      <c r="BT51" s="167">
        <f t="shared" si="44"/>
        <v>0</v>
      </c>
      <c r="BU51" s="677"/>
      <c r="BV51" s="634">
        <v>0</v>
      </c>
      <c r="BW51" s="1625"/>
      <c r="BX51" s="634">
        <v>0</v>
      </c>
      <c r="BY51" s="1583"/>
      <c r="BZ51" s="678">
        <f t="shared" si="45"/>
        <v>0</v>
      </c>
      <c r="CD51" s="615">
        <v>1</v>
      </c>
      <c r="CE51" s="615">
        <f t="shared" si="47"/>
        <v>0</v>
      </c>
      <c r="CF51" s="618">
        <v>1</v>
      </c>
      <c r="CG51" s="615">
        <f t="shared" si="46"/>
        <v>0</v>
      </c>
      <c r="CH51" s="615">
        <v>1</v>
      </c>
      <c r="CI51" s="615">
        <f>M51</f>
        <v>0</v>
      </c>
      <c r="CJ51" s="616"/>
      <c r="CK51" s="616"/>
      <c r="CL51" s="616"/>
      <c r="CM51" s="616"/>
      <c r="CN51" s="616"/>
      <c r="CO51" s="616"/>
      <c r="CP51" s="616"/>
      <c r="CQ51" s="616"/>
      <c r="CR51" s="616"/>
      <c r="CS51" s="616"/>
    </row>
    <row r="52" spans="1:98" ht="14.25" customHeight="1">
      <c r="A52" s="44" t="s">
        <v>1463</v>
      </c>
      <c r="B52" s="44" t="s">
        <v>1464</v>
      </c>
      <c r="C52" s="284">
        <v>29</v>
      </c>
      <c r="D52" s="79" t="s">
        <v>1381</v>
      </c>
      <c r="E52" s="490" t="s">
        <v>1870</v>
      </c>
      <c r="F52" s="275"/>
      <c r="G52" s="260" t="s">
        <v>1872</v>
      </c>
      <c r="H52" s="275" t="s">
        <v>1871</v>
      </c>
      <c r="I52" s="635">
        <v>2</v>
      </c>
      <c r="J52" s="638" t="s">
        <v>1465</v>
      </c>
      <c r="K52" s="599">
        <f>AVERAGE(BW52,BQ52,BK52,BE52,AY52,AS52,AM52,AG52,AA52,U52)</f>
        <v>2</v>
      </c>
      <c r="L52" s="638" t="s">
        <v>1465</v>
      </c>
      <c r="M52" s="597">
        <f>AVERAGE(BY52,BS52,BM52,BG52,BA52,AU52,AO52,AI52,AC52,W52)</f>
        <v>2</v>
      </c>
      <c r="N52" s="579">
        <f t="shared" si="14"/>
        <v>0</v>
      </c>
      <c r="O52" s="598">
        <f>I52-M52</f>
        <v>0</v>
      </c>
      <c r="P52" s="597">
        <f t="shared" si="15"/>
        <v>0</v>
      </c>
      <c r="Q52" s="977">
        <f t="shared" si="16"/>
        <v>0</v>
      </c>
      <c r="R52" s="978">
        <f t="shared" si="17"/>
        <v>0</v>
      </c>
      <c r="S52" s="677"/>
      <c r="T52" s="638" t="s">
        <v>1465</v>
      </c>
      <c r="U52" s="631">
        <f>IF(LEFT(T52,1)="1",2,0)</f>
        <v>2</v>
      </c>
      <c r="V52" s="638" t="s">
        <v>1465</v>
      </c>
      <c r="W52" s="997">
        <f>IF(LEFT(V52)="1",2,0)</f>
        <v>2</v>
      </c>
      <c r="X52" s="167">
        <f>IF((V52=T52)=TRUE,0,1)</f>
        <v>0</v>
      </c>
      <c r="Y52" s="677"/>
      <c r="Z52" s="638" t="s">
        <v>1465</v>
      </c>
      <c r="AA52" s="634">
        <f>IF(LEFT(Z52,1)="1",2,0)</f>
        <v>2</v>
      </c>
      <c r="AB52" s="638" t="s">
        <v>1465</v>
      </c>
      <c r="AC52" s="634">
        <f>IF(LEFT(AB52)="1",2,0)</f>
        <v>2</v>
      </c>
      <c r="AD52" s="167">
        <f>IF((AB52=Z52)=TRUE,0,1)</f>
        <v>0</v>
      </c>
      <c r="AE52" s="677"/>
      <c r="AF52" s="638" t="s">
        <v>1465</v>
      </c>
      <c r="AG52" s="634">
        <f>IF(LEFT(AF52,1)="1",2,0)</f>
        <v>2</v>
      </c>
      <c r="AH52" s="638" t="s">
        <v>1465</v>
      </c>
      <c r="AI52" s="634">
        <f>IF(LEFT(AH52)="1",2,0)</f>
        <v>2</v>
      </c>
      <c r="AJ52" s="167">
        <f>IF((AH52=AF52)=TRUE,0,1)</f>
        <v>0</v>
      </c>
      <c r="AK52" s="677"/>
      <c r="AL52" s="638" t="s">
        <v>1465</v>
      </c>
      <c r="AM52" s="634">
        <f>IF(LEFT(AL52,1)="1",2,0)</f>
        <v>2</v>
      </c>
      <c r="AN52" s="638" t="s">
        <v>1465</v>
      </c>
      <c r="AO52" s="634">
        <f>IF(LEFT(AN52)="1",2,0)</f>
        <v>2</v>
      </c>
      <c r="AP52" s="167">
        <f>IF((AN52=AL52)=TRUE,0,1)</f>
        <v>0</v>
      </c>
      <c r="AQ52" s="677"/>
      <c r="AR52" s="638" t="s">
        <v>1465</v>
      </c>
      <c r="AS52" s="634">
        <f>IF(LEFT(AR52,1)="1",2,0)</f>
        <v>2</v>
      </c>
      <c r="AT52" s="638" t="s">
        <v>1465</v>
      </c>
      <c r="AU52" s="634">
        <f>IF(LEFT(AT52)="1",2,0)</f>
        <v>2</v>
      </c>
      <c r="AV52" s="167">
        <f>IF((AT52=AR52)=TRUE,0,1)</f>
        <v>0</v>
      </c>
      <c r="AW52" s="677"/>
      <c r="AX52" s="638" t="s">
        <v>1465</v>
      </c>
      <c r="AY52" s="634">
        <f>IF(LEFT(AX52,1)="1",2,0)</f>
        <v>2</v>
      </c>
      <c r="AZ52" s="638" t="s">
        <v>1465</v>
      </c>
      <c r="BA52" s="634">
        <f>IF(LEFT(AZ52)="1",2,0)</f>
        <v>2</v>
      </c>
      <c r="BB52" s="167">
        <f>IF((AZ52=AX52)=TRUE,0,1)</f>
        <v>0</v>
      </c>
      <c r="BC52" s="677"/>
      <c r="BD52" s="638" t="s">
        <v>1465</v>
      </c>
      <c r="BE52" s="634">
        <f>IF(LEFT(BD52,1)="1",2,0)</f>
        <v>2</v>
      </c>
      <c r="BF52" s="638" t="s">
        <v>1465</v>
      </c>
      <c r="BG52" s="634">
        <f>IF(LEFT(BF52)="1",2,0)</f>
        <v>2</v>
      </c>
      <c r="BH52" s="167">
        <f>IF((BF52=BD52)=TRUE,0,1)</f>
        <v>0</v>
      </c>
      <c r="BI52" s="677"/>
      <c r="BJ52" s="638" t="s">
        <v>1465</v>
      </c>
      <c r="BK52" s="634">
        <f>IF(LEFT(BJ52,1)="1",2,0)</f>
        <v>2</v>
      </c>
      <c r="BL52" s="638" t="s">
        <v>1465</v>
      </c>
      <c r="BM52" s="634">
        <f>IF(LEFT(BL52)="1",2,0)</f>
        <v>2</v>
      </c>
      <c r="BN52" s="167">
        <f>IF((BL52=BJ52)=TRUE,0,1)</f>
        <v>0</v>
      </c>
      <c r="BO52" s="677"/>
      <c r="BP52" s="638" t="s">
        <v>1465</v>
      </c>
      <c r="BQ52" s="634">
        <f>IF(LEFT(BP52,1)="1",2,0)</f>
        <v>2</v>
      </c>
      <c r="BR52" s="638" t="s">
        <v>1465</v>
      </c>
      <c r="BS52" s="634">
        <f>IF(LEFT(BR52)="1",2,0)</f>
        <v>2</v>
      </c>
      <c r="BT52" s="167">
        <f>IF((BR52=BP52)=TRUE,0,1)</f>
        <v>0</v>
      </c>
      <c r="BU52" s="677"/>
      <c r="BV52" s="638" t="s">
        <v>1465</v>
      </c>
      <c r="BW52" s="634">
        <f>IF(LEFT(BV52,1)="1",2,0)</f>
        <v>2</v>
      </c>
      <c r="BX52" s="638" t="s">
        <v>1465</v>
      </c>
      <c r="BY52" s="631">
        <f>IF(LEFT(BX52)="1",2,0)</f>
        <v>2</v>
      </c>
      <c r="BZ52" s="678">
        <f>IF((BX52=BV52)=TRUE,0,1)</f>
        <v>0</v>
      </c>
      <c r="CD52" s="615">
        <v>1</v>
      </c>
      <c r="CE52" s="615">
        <f t="shared" si="47"/>
        <v>2</v>
      </c>
      <c r="CF52" s="618">
        <v>1</v>
      </c>
      <c r="CG52" s="615">
        <f t="shared" si="46"/>
        <v>2</v>
      </c>
      <c r="CH52" s="615">
        <v>1</v>
      </c>
      <c r="CI52" s="615">
        <f>M52</f>
        <v>2</v>
      </c>
      <c r="CJ52" s="616"/>
      <c r="CK52" s="616"/>
      <c r="CL52" s="616"/>
      <c r="CM52" s="616"/>
      <c r="CN52" s="616"/>
      <c r="CO52" s="616"/>
      <c r="CP52" s="616"/>
      <c r="CQ52" s="616"/>
      <c r="CR52" s="616"/>
      <c r="CS52" s="616"/>
    </row>
    <row r="53" spans="1:98" ht="16.5" customHeight="1">
      <c r="A53" s="1611" t="s">
        <v>1466</v>
      </c>
      <c r="B53" s="1611" t="s">
        <v>1873</v>
      </c>
      <c r="C53" s="284">
        <v>30</v>
      </c>
      <c r="D53" s="79" t="s">
        <v>183</v>
      </c>
      <c r="E53" s="490" t="s">
        <v>259</v>
      </c>
      <c r="F53" s="275"/>
      <c r="G53" s="260" t="s">
        <v>1874</v>
      </c>
      <c r="H53" s="1611" t="s">
        <v>1840</v>
      </c>
      <c r="I53" s="1628">
        <v>10</v>
      </c>
      <c r="J53" s="601">
        <f>AVERAGE(BV53,BP53,BJ53,BD53,AX53,AR53,AL53,AF53,Z53,T53)</f>
        <v>0</v>
      </c>
      <c r="K53" s="1636">
        <v>0</v>
      </c>
      <c r="L53" s="601">
        <f>AVERAGE(BX53,BR53,BL53,BF53,AZ53,AT53,AN53,AH53,AB53,V53)</f>
        <v>0</v>
      </c>
      <c r="M53" s="1636">
        <v>0</v>
      </c>
      <c r="N53" s="1616">
        <f t="shared" si="14"/>
        <v>0</v>
      </c>
      <c r="O53" s="1653">
        <f>I53-M53</f>
        <v>10</v>
      </c>
      <c r="P53" s="1636">
        <f t="shared" si="15"/>
        <v>4</v>
      </c>
      <c r="Q53" s="1647">
        <f t="shared" si="16"/>
        <v>0.44444444444444442</v>
      </c>
      <c r="R53" s="1650">
        <f t="shared" si="17"/>
        <v>0.22222222222222221</v>
      </c>
      <c r="S53" s="677"/>
      <c r="T53" s="127">
        <v>0</v>
      </c>
      <c r="U53" s="1623">
        <f>IF(T20+T21+T35+T36+T38+T39+T46+T47+T48=0,10,"行业水平得分")</f>
        <v>10</v>
      </c>
      <c r="V53" s="127">
        <v>0</v>
      </c>
      <c r="W53" s="1623">
        <f>IF(V20+V21+V35+V36+V38+V39+V46+V47+V48=0,10,"行业水平得分")</f>
        <v>10</v>
      </c>
      <c r="X53" s="167">
        <f>IF(AND(T53=0,V53&lt;&gt;0),1,IF(AND(T53=0,V53=0),0,V53/T53-1))</f>
        <v>0</v>
      </c>
      <c r="Y53" s="677"/>
      <c r="Z53" s="127">
        <v>0</v>
      </c>
      <c r="AA53" s="1624" t="str">
        <f>IF(Z20+Z21+Z35+Z36+Z38+Z39+Z46+Z47+Z48=0,10,"行业水平得分")</f>
        <v>行业水平得分</v>
      </c>
      <c r="AB53" s="127">
        <v>0</v>
      </c>
      <c r="AC53" s="1624" t="str">
        <f>IF(AB20+AB21+AB35+AB36+AB38+AB39+AB46+AB47+AB48=0,10,"行业水平得分")</f>
        <v>行业水平得分</v>
      </c>
      <c r="AD53" s="167">
        <f>IF(AND(Z53=0,AB53&lt;&gt;0),1,IF(AND(Z53=0,AB53=0),0,AB53/Z53-1))</f>
        <v>0</v>
      </c>
      <c r="AE53" s="677"/>
      <c r="AF53" s="127">
        <v>0</v>
      </c>
      <c r="AG53" s="1623">
        <f>IF(AF20+AF21+AF35+AF36+AF38+AF39+AF46+AF47+AF48=0,10,"行业水平得分")</f>
        <v>10</v>
      </c>
      <c r="AH53" s="127">
        <v>0</v>
      </c>
      <c r="AI53" s="1623">
        <f>IF(AH20+AH21+AH35+AH36+AH38+AH39+AH46+AH47+AH48=0,10,"行业水平得分")</f>
        <v>10</v>
      </c>
      <c r="AJ53" s="167">
        <f>IF(AND(AF53=0,AH53&lt;&gt;0),1,IF(AND(AF53=0,AH53=0),0,AH53/AF53-1))</f>
        <v>0</v>
      </c>
      <c r="AK53" s="677"/>
      <c r="AL53" s="127">
        <v>0</v>
      </c>
      <c r="AM53" s="1623">
        <f>IF(AL20+AL21+AL35+AL36+AL38+AL39+AL46+AL47+AL48=0,10,"行业水平得分")</f>
        <v>10</v>
      </c>
      <c r="AN53" s="127">
        <v>0</v>
      </c>
      <c r="AO53" s="1623">
        <f>IF(AN20+AN21+AN35+AN36+AN38+AN39+AN46+AN47+AN48=0,10,"行业水平得分")</f>
        <v>10</v>
      </c>
      <c r="AP53" s="167">
        <f>IF(AND(AL53=0,AN53&lt;&gt;0),1,IF(AND(AL53=0,AN53=0),0,AN53/AL53-1))</f>
        <v>0</v>
      </c>
      <c r="AQ53" s="677"/>
      <c r="AR53" s="127">
        <v>0</v>
      </c>
      <c r="AS53" s="1623">
        <f>IF(AR20+AR21+AR35+AR36+AR38+AR39+AR46+AR47+AR48=0,10,"行业水平得分")</f>
        <v>10</v>
      </c>
      <c r="AT53" s="127">
        <v>0</v>
      </c>
      <c r="AU53" s="1623">
        <f>IF(AT20+AT21+AT35+AT36+AT38+AT39+AT46+AT47+AT48=0,10,"行业水平得分")</f>
        <v>10</v>
      </c>
      <c r="AV53" s="167">
        <f>IF(AND(AR53=0,AT53&lt;&gt;0),1,IF(AND(AR53=0,AT53=0),0,AT53/AR53-1))</f>
        <v>0</v>
      </c>
      <c r="AW53" s="677"/>
      <c r="AX53" s="127">
        <v>0</v>
      </c>
      <c r="AY53" s="1624" t="str">
        <f>IF(AX20+AX21+AX35+AX36+AX38+AX39+AX46+AX47+AX48=0,10,"行业水平得分")</f>
        <v>行业水平得分</v>
      </c>
      <c r="AZ53" s="127">
        <v>0</v>
      </c>
      <c r="BA53" s="1624" t="str">
        <f>IF(AZ20+AZ21+AZ35+AZ36+AZ38+AZ39+AZ46+AZ47+AZ48=0,10,"行业水平得分")</f>
        <v>行业水平得分</v>
      </c>
      <c r="BB53" s="167">
        <f>IF(AND(AX53=0,AZ53&lt;&gt;0),1,IF(AND(AX53=0,AZ53=0),0,AZ53/AX53-1))</f>
        <v>0</v>
      </c>
      <c r="BC53" s="677"/>
      <c r="BD53" s="127">
        <v>0</v>
      </c>
      <c r="BE53" s="1623">
        <f>IF(BD20+BD21+BD35+BD36+BD38+BD39+BD46+BD47+BD48=0,10,"行业水平得分")</f>
        <v>10</v>
      </c>
      <c r="BF53" s="127">
        <v>0</v>
      </c>
      <c r="BG53" s="1623">
        <f>IF(BF20+BF21+BF35+BF36+BF38+BF39+BF46+BF47+BF48=0,10,"行业水平得分")</f>
        <v>10</v>
      </c>
      <c r="BH53" s="167">
        <f>IF(AND(BD53=0,BF53&lt;&gt;0),1,IF(AND(BD53=0,BF53=0),0,BF53/BD53-1))</f>
        <v>0</v>
      </c>
      <c r="BI53" s="677"/>
      <c r="BJ53" s="127">
        <v>0</v>
      </c>
      <c r="BK53" s="1624" t="str">
        <f>IF(BJ20+BJ21+BJ35+BJ36+BJ38+BJ39+BJ46+BJ47+BJ48=0,10,"行业水平得分")</f>
        <v>行业水平得分</v>
      </c>
      <c r="BL53" s="127">
        <v>0</v>
      </c>
      <c r="BM53" s="1624" t="str">
        <f>IF(BL20+BL21+BL35+BL36+BL38+BL39+BL46+BL47+BL48=0,10,"行业水平得分")</f>
        <v>行业水平得分</v>
      </c>
      <c r="BN53" s="167">
        <f>IF(AND(BJ53=0,BL53&lt;&gt;0),1,IF(AND(BJ53=0,BL53=0),0,BL53/BJ53-1))</f>
        <v>0</v>
      </c>
      <c r="BO53" s="677"/>
      <c r="BP53" s="127">
        <v>0</v>
      </c>
      <c r="BQ53" s="1624" t="str">
        <f>IF(BP20+BP21+BP35+BP36+BP38+BP39+BP46+BP47+BP48=0,10,"行业水平得分")</f>
        <v>行业水平得分</v>
      </c>
      <c r="BR53" s="127">
        <v>0</v>
      </c>
      <c r="BS53" s="1624" t="str">
        <f>IF(BR20+BR21+BR35+BR36+BR38+BR39+BR46+BR47+BR48=0,10,"行业水平得分")</f>
        <v>行业水平得分</v>
      </c>
      <c r="BT53" s="167">
        <f>IF(AND(BP53=0,BR53&lt;&gt;0),1,IF(AND(BP53=0,BR53=0),0,BR53/BP53-1))</f>
        <v>0</v>
      </c>
      <c r="BU53" s="677"/>
      <c r="BV53" s="127">
        <v>0</v>
      </c>
      <c r="BW53" s="1624" t="str">
        <f>IF(BV20+BV21+BV35+BV36+BV38+BV39+BV46+BV47+BV48=0,10,"行业水平得分")</f>
        <v>行业水平得分</v>
      </c>
      <c r="BX53" s="127">
        <v>0</v>
      </c>
      <c r="BY53" s="1624" t="str">
        <f>IF(BX20+BX21+BX35+BX36+BX38+BX39+BX46+BX47+BX48=0,10,"行业水平得分")</f>
        <v>行业水平得分</v>
      </c>
      <c r="BZ53" s="678">
        <f>IF(AND(BV53=0,BX53&lt;&gt;0),1,IF(AND(BV53=0,BX53=0),0,BX53/BV53-1))</f>
        <v>0</v>
      </c>
      <c r="CD53" s="615">
        <v>1</v>
      </c>
      <c r="CE53" s="615">
        <v>10</v>
      </c>
      <c r="CF53" s="615">
        <v>1</v>
      </c>
      <c r="CG53" s="615">
        <v>10</v>
      </c>
      <c r="CH53" s="615">
        <v>0</v>
      </c>
      <c r="CI53" s="615"/>
      <c r="CJ53" s="615">
        <v>1</v>
      </c>
      <c r="CK53" s="615">
        <f>$M53</f>
        <v>0</v>
      </c>
      <c r="CL53" s="615">
        <v>1</v>
      </c>
      <c r="CM53" s="615">
        <v>10</v>
      </c>
      <c r="CN53" s="615">
        <v>1</v>
      </c>
      <c r="CO53" s="615">
        <v>9</v>
      </c>
      <c r="CP53" s="615">
        <v>1</v>
      </c>
      <c r="CQ53" s="615">
        <v>9</v>
      </c>
      <c r="CR53" s="615">
        <v>1</v>
      </c>
      <c r="CS53" s="615">
        <v>10</v>
      </c>
    </row>
    <row r="54" spans="1:98" ht="15.6" customHeight="1">
      <c r="A54" s="1626"/>
      <c r="B54" s="1626"/>
      <c r="C54" s="284">
        <v>31</v>
      </c>
      <c r="D54" s="79" t="s">
        <v>1324</v>
      </c>
      <c r="E54" s="490" t="s">
        <v>259</v>
      </c>
      <c r="F54" s="44"/>
      <c r="G54" s="1629" t="s">
        <v>489</v>
      </c>
      <c r="H54" s="1626"/>
      <c r="I54" s="1628"/>
      <c r="J54" s="601">
        <f>AVERAGE(BV54,BP54,BJ54,BD54,AX54,AR54,AL54,AF54,Z54,T54)</f>
        <v>273846403.176</v>
      </c>
      <c r="K54" s="1645"/>
      <c r="L54" s="601">
        <f>AVERAGE(BX54,BR54,BL54,BF54,AZ54,AT54,AN54,AH54,AB54,V54)</f>
        <v>297716781.79399997</v>
      </c>
      <c r="M54" s="1645"/>
      <c r="N54" s="1617"/>
      <c r="O54" s="1654"/>
      <c r="P54" s="1645"/>
      <c r="Q54" s="1648"/>
      <c r="R54" s="1651"/>
      <c r="S54" s="677"/>
      <c r="T54" s="127">
        <v>135959124.72</v>
      </c>
      <c r="U54" s="1623"/>
      <c r="V54" s="127">
        <v>150759849.93000001</v>
      </c>
      <c r="W54" s="1623"/>
      <c r="X54" s="167">
        <f>IF(AND(T54=0,V54&lt;&gt;0),1,IF(AND(T54=0,V54=0),0,V54/T54-1))</f>
        <v>0.10886158057049311</v>
      </c>
      <c r="Y54" s="677"/>
      <c r="Z54" s="127">
        <v>655879164.85000002</v>
      </c>
      <c r="AA54" s="1624"/>
      <c r="AB54" s="127">
        <v>717814933.43999994</v>
      </c>
      <c r="AC54" s="1624"/>
      <c r="AD54" s="167">
        <f>IF(AND(Z54=0,AB54&lt;&gt;0),1,IF(AND(Z54=0,AB54=0),0,AB54/Z54-1))</f>
        <v>9.4431675694660377E-2</v>
      </c>
      <c r="AE54" s="677"/>
      <c r="AF54" s="127">
        <v>443083589.52000004</v>
      </c>
      <c r="AG54" s="1623"/>
      <c r="AH54" s="127">
        <v>480317907.71999997</v>
      </c>
      <c r="AI54" s="1623"/>
      <c r="AJ54" s="167">
        <f>IF(AND(AF54=0,AH54&lt;&gt;0),1,IF(AND(AF54=0,AH54=0),0,AH54/AF54-1))</f>
        <v>8.4034523238237124E-2</v>
      </c>
      <c r="AK54" s="677"/>
      <c r="AL54" s="127">
        <v>141837535.61000001</v>
      </c>
      <c r="AM54" s="1623"/>
      <c r="AN54" s="127">
        <v>167275700.56999999</v>
      </c>
      <c r="AO54" s="1623"/>
      <c r="AP54" s="167">
        <f>IF(AND(AL54=0,AN54&lt;&gt;0),1,IF(AND(AL54=0,AN54=0),0,AN54/AL54-1))</f>
        <v>0.17934720065882548</v>
      </c>
      <c r="AQ54" s="677"/>
      <c r="AR54" s="127">
        <v>380168626.97000003</v>
      </c>
      <c r="AS54" s="1623"/>
      <c r="AT54" s="127">
        <v>410195478.64000005</v>
      </c>
      <c r="AU54" s="1623"/>
      <c r="AV54" s="167">
        <f>IF(AND(AR54=0,AT54&lt;&gt;0),1,IF(AND(AR54=0,AT54=0),0,AT54/AR54-1))</f>
        <v>7.8982981602975677E-2</v>
      </c>
      <c r="AW54" s="677"/>
      <c r="AX54" s="127">
        <v>406813233.17999989</v>
      </c>
      <c r="AY54" s="1624"/>
      <c r="AZ54" s="127">
        <v>439731394.57999992</v>
      </c>
      <c r="BA54" s="1624"/>
      <c r="BB54" s="167">
        <f>IF(AND(AX54=0,AZ54&lt;&gt;0),1,IF(AND(AX54=0,AZ54=0),0,AZ54/AX54-1))</f>
        <v>8.0917135223659065E-2</v>
      </c>
      <c r="BC54" s="677"/>
      <c r="BD54" s="127">
        <v>86266136.519999996</v>
      </c>
      <c r="BE54" s="1623"/>
      <c r="BF54" s="127">
        <v>89135757.319999993</v>
      </c>
      <c r="BG54" s="1623"/>
      <c r="BH54" s="167">
        <f>IF(AND(BD54=0,BF54&lt;&gt;0),1,IF(AND(BD54=0,BF54=0),0,BF54/BD54-1))</f>
        <v>3.3264742293573235E-2</v>
      </c>
      <c r="BI54" s="677"/>
      <c r="BJ54" s="127">
        <v>302900686.05000001</v>
      </c>
      <c r="BK54" s="1624"/>
      <c r="BL54" s="127">
        <v>325747164.19999999</v>
      </c>
      <c r="BM54" s="1624"/>
      <c r="BN54" s="167">
        <f>IF(AND(BJ54=0,BL54&lt;&gt;0),1,IF(AND(BJ54=0,BL54=0),0,BL54/BJ54-1))</f>
        <v>7.5425640159259011E-2</v>
      </c>
      <c r="BO54" s="677"/>
      <c r="BP54" s="127">
        <v>75715434.870000005</v>
      </c>
      <c r="BQ54" s="1624"/>
      <c r="BR54" s="127">
        <v>79523892.569999993</v>
      </c>
      <c r="BS54" s="1624"/>
      <c r="BT54" s="167">
        <f>IF(AND(BP54=0,BR54&lt;&gt;0),1,IF(AND(BP54=0,BR54=0),0,BR54/BP54-1))</f>
        <v>5.0299621293055319E-2</v>
      </c>
      <c r="BU54" s="677"/>
      <c r="BV54" s="127">
        <v>109840499.47</v>
      </c>
      <c r="BW54" s="1624"/>
      <c r="BX54" s="127">
        <v>116665738.97000001</v>
      </c>
      <c r="BY54" s="1624"/>
      <c r="BZ54" s="678">
        <f>IF(AND(BV54=0,BX54&lt;&gt;0),1,IF(AND(BV54=0,BX54=0),0,BX54/BV54-1))</f>
        <v>6.2137731828724396E-2</v>
      </c>
      <c r="CD54" s="615"/>
      <c r="CE54" s="615"/>
      <c r="CF54" s="615"/>
      <c r="CG54" s="615"/>
      <c r="CH54" s="615"/>
      <c r="CI54" s="615"/>
      <c r="CJ54" s="616"/>
      <c r="CK54" s="616"/>
      <c r="CL54" s="616"/>
      <c r="CM54" s="616"/>
      <c r="CN54" s="616"/>
      <c r="CO54" s="616"/>
      <c r="CP54" s="616"/>
      <c r="CQ54" s="616"/>
      <c r="CR54" s="616"/>
      <c r="CS54" s="616"/>
    </row>
    <row r="55" spans="1:98" ht="15.6" customHeight="1">
      <c r="A55" s="1626"/>
      <c r="B55" s="1626"/>
      <c r="C55" s="284">
        <v>32</v>
      </c>
      <c r="D55" s="79" t="s">
        <v>1327</v>
      </c>
      <c r="E55" s="490" t="s">
        <v>259</v>
      </c>
      <c r="F55" s="44"/>
      <c r="G55" s="1630"/>
      <c r="H55" s="1626"/>
      <c r="I55" s="1628"/>
      <c r="J55" s="601">
        <f>AVERAGE(BV55,BP55,BJ55,BD55,AX55,AR55,AL55,AF55,Z55,T55)</f>
        <v>14397557.574000001</v>
      </c>
      <c r="K55" s="1645"/>
      <c r="L55" s="601">
        <f>AVERAGE(BX55,BR55,BL55,BF55,AZ55,AT55,AN55,AH55,AB55,V55)</f>
        <v>14550880.921</v>
      </c>
      <c r="M55" s="1645"/>
      <c r="N55" s="1617"/>
      <c r="O55" s="1654"/>
      <c r="P55" s="1645"/>
      <c r="Q55" s="1648"/>
      <c r="R55" s="1651"/>
      <c r="S55" s="677"/>
      <c r="T55" s="127">
        <v>4940300</v>
      </c>
      <c r="U55" s="1623"/>
      <c r="V55" s="127">
        <v>5135200</v>
      </c>
      <c r="W55" s="1623"/>
      <c r="X55" s="167">
        <f>IF(AND(T55=0,V55&lt;&gt;0),1,IF(AND(T55=0,V55=0),0,V55/T55-1))</f>
        <v>3.9451045483067881E-2</v>
      </c>
      <c r="Y55" s="677"/>
      <c r="Z55" s="127">
        <v>26385577.34</v>
      </c>
      <c r="AA55" s="1624"/>
      <c r="AB55" s="127">
        <v>30100846.810000002</v>
      </c>
      <c r="AC55" s="1624"/>
      <c r="AD55" s="167">
        <f>IF(AND(Z55=0,AB55&lt;&gt;0),1,IF(AND(Z55=0,AB55=0),0,AB55/Z55-1))</f>
        <v>0.14080682875063455</v>
      </c>
      <c r="AE55" s="677"/>
      <c r="AF55" s="127">
        <v>33472800</v>
      </c>
      <c r="AG55" s="1623"/>
      <c r="AH55" s="127">
        <v>32649400</v>
      </c>
      <c r="AI55" s="1623"/>
      <c r="AJ55" s="167">
        <f>IF(AND(AF55=0,AH55&lt;&gt;0),1,IF(AND(AF55=0,AH55=0),0,AH55/AF55-1))</f>
        <v>-2.4599077459907748E-2</v>
      </c>
      <c r="AK55" s="677"/>
      <c r="AL55" s="127">
        <v>17000</v>
      </c>
      <c r="AM55" s="1623"/>
      <c r="AN55" s="127">
        <v>20000</v>
      </c>
      <c r="AO55" s="1623"/>
      <c r="AP55" s="167">
        <f>IF(AND(AL55=0,AN55&lt;&gt;0),1,IF(AND(AL55=0,AN55=0),0,AN55/AL55-1))</f>
        <v>0.17647058823529416</v>
      </c>
      <c r="AQ55" s="677"/>
      <c r="AR55" s="127">
        <v>47008605</v>
      </c>
      <c r="AS55" s="1623"/>
      <c r="AT55" s="127">
        <v>45303469</v>
      </c>
      <c r="AU55" s="1623"/>
      <c r="AV55" s="167">
        <f>IF(AND(AR55=0,AT55&lt;&gt;0),1,IF(AND(AR55=0,AT55=0),0,AT55/AR55-1))</f>
        <v>-3.6272848343404385E-2</v>
      </c>
      <c r="AW55" s="677"/>
      <c r="AX55" s="127">
        <v>15169800</v>
      </c>
      <c r="AY55" s="1624"/>
      <c r="AZ55" s="127">
        <v>14569700</v>
      </c>
      <c r="BA55" s="1624"/>
      <c r="BB55" s="167">
        <f>IF(AND(AX55=0,AZ55&lt;&gt;0),1,IF(AND(AX55=0,AZ55=0),0,AZ55/AX55-1))</f>
        <v>-3.9558860367308712E-2</v>
      </c>
      <c r="BC55" s="677"/>
      <c r="BD55" s="127">
        <v>8371330</v>
      </c>
      <c r="BE55" s="1623"/>
      <c r="BF55" s="127">
        <v>8202430</v>
      </c>
      <c r="BG55" s="1623"/>
      <c r="BH55" s="167">
        <f>IF(AND(BD55=0,BF55&lt;&gt;0),1,IF(AND(BD55=0,BF55=0),0,BF55/BD55-1))</f>
        <v>-2.0176005485388782E-2</v>
      </c>
      <c r="BI55" s="677"/>
      <c r="BJ55" s="127">
        <v>4531363.4000000004</v>
      </c>
      <c r="BK55" s="1624"/>
      <c r="BL55" s="127">
        <v>4586963.4000000004</v>
      </c>
      <c r="BM55" s="1624"/>
      <c r="BN55" s="167">
        <f>IF(AND(BJ55=0,BL55&lt;&gt;0),1,IF(AND(BJ55=0,BL55=0),0,BL55/BJ55-1))</f>
        <v>1.2270037755082619E-2</v>
      </c>
      <c r="BO55" s="677"/>
      <c r="BP55" s="127">
        <v>95400</v>
      </c>
      <c r="BQ55" s="1624"/>
      <c r="BR55" s="127">
        <v>87900</v>
      </c>
      <c r="BS55" s="1624"/>
      <c r="BT55" s="167">
        <f>IF(AND(BP55=0,BR55&lt;&gt;0),1,IF(AND(BP55=0,BR55=0),0,BR55/BP55-1))</f>
        <v>-7.8616352201257844E-2</v>
      </c>
      <c r="BU55" s="677"/>
      <c r="BV55" s="127">
        <v>3983400</v>
      </c>
      <c r="BW55" s="1624"/>
      <c r="BX55" s="127">
        <v>4852900</v>
      </c>
      <c r="BY55" s="1624"/>
      <c r="BZ55" s="678">
        <f>IF(AND(BV55=0,BX55&lt;&gt;0),1,IF(AND(BV55=0,BX55=0),0,BX55/BV55-1))</f>
        <v>0.21828086559220772</v>
      </c>
      <c r="CD55" s="615"/>
      <c r="CE55" s="615"/>
      <c r="CF55" s="615"/>
      <c r="CG55" s="615"/>
      <c r="CH55" s="615"/>
      <c r="CI55" s="615"/>
      <c r="CJ55" s="616"/>
      <c r="CK55" s="616"/>
      <c r="CL55" s="616"/>
      <c r="CM55" s="616"/>
      <c r="CN55" s="616"/>
      <c r="CO55" s="616"/>
      <c r="CP55" s="616"/>
      <c r="CQ55" s="616"/>
      <c r="CR55" s="616"/>
      <c r="CS55" s="616"/>
    </row>
    <row r="56" spans="1:98" ht="16.5" customHeight="1" thickBot="1">
      <c r="A56" s="1627"/>
      <c r="B56" s="1612"/>
      <c r="C56" s="505">
        <v>33</v>
      </c>
      <c r="D56" s="1041" t="s">
        <v>1328</v>
      </c>
      <c r="E56" s="490" t="s">
        <v>259</v>
      </c>
      <c r="F56" s="44"/>
      <c r="G56" s="1631"/>
      <c r="H56" s="1612"/>
      <c r="I56" s="1628"/>
      <c r="J56" s="601">
        <f>AVERAGE(BV56,BP56,BJ56,BD56,AX56,AR56,AL56,AF56,Z56,T56)</f>
        <v>843812.15</v>
      </c>
      <c r="K56" s="1637"/>
      <c r="L56" s="601">
        <f>AVERAGE(BX56,BR56,BL56,BF56,AZ56,AT56,AN56,AH56,AB56,V56)</f>
        <v>266054.41000000003</v>
      </c>
      <c r="M56" s="1637"/>
      <c r="N56" s="1618"/>
      <c r="O56" s="1655"/>
      <c r="P56" s="1637"/>
      <c r="Q56" s="1649"/>
      <c r="R56" s="1652"/>
      <c r="S56" s="677"/>
      <c r="T56" s="127">
        <v>0</v>
      </c>
      <c r="U56" s="1623"/>
      <c r="V56" s="127">
        <v>0</v>
      </c>
      <c r="W56" s="1623"/>
      <c r="X56" s="167">
        <f>IF(AND(T56=0,V56&lt;&gt;0),1,IF(AND(T56=0,V56=0),0,V56/T56-1))</f>
        <v>0</v>
      </c>
      <c r="Y56" s="677"/>
      <c r="Z56" s="127">
        <v>130569.9</v>
      </c>
      <c r="AA56" s="1624"/>
      <c r="AB56" s="127">
        <v>277945.40000000002</v>
      </c>
      <c r="AC56" s="1624"/>
      <c r="AD56" s="167">
        <f>IF(AND(Z56=0,AB56&lt;&gt;0),1,IF(AND(Z56=0,AB56=0),0,AB56/Z56-1))</f>
        <v>1.1287096030555284</v>
      </c>
      <c r="AE56" s="677"/>
      <c r="AF56" s="127">
        <v>866723</v>
      </c>
      <c r="AG56" s="1623"/>
      <c r="AH56" s="127">
        <v>770079.10000000009</v>
      </c>
      <c r="AI56" s="1623"/>
      <c r="AJ56" s="167">
        <f>IF(AND(AF56=0,AH56&lt;&gt;0),1,IF(AND(AF56=0,AH56=0),0,AH56/AF56-1))</f>
        <v>-0.11150494448630055</v>
      </c>
      <c r="AK56" s="677"/>
      <c r="AL56" s="127">
        <v>5912900</v>
      </c>
      <c r="AM56" s="1623"/>
      <c r="AN56" s="127">
        <v>12900</v>
      </c>
      <c r="AO56" s="1623"/>
      <c r="AP56" s="167">
        <f>IF(AND(AL56=0,AN56&lt;&gt;0),1,IF(AND(AL56=0,AN56=0),0,AN56/AL56-1))</f>
        <v>-0.99781832941534609</v>
      </c>
      <c r="AQ56" s="677"/>
      <c r="AR56" s="127">
        <v>1033962.3</v>
      </c>
      <c r="AS56" s="1623"/>
      <c r="AT56" s="127">
        <v>939089.6</v>
      </c>
      <c r="AU56" s="1623"/>
      <c r="AV56" s="167">
        <f>IF(AND(AR56=0,AT56&lt;&gt;0),1,IF(AND(AR56=0,AT56=0),0,AT56/AR56-1))</f>
        <v>-9.1756440249320614E-2</v>
      </c>
      <c r="AW56" s="677"/>
      <c r="AX56" s="127">
        <v>203695.5</v>
      </c>
      <c r="AY56" s="1624"/>
      <c r="AZ56" s="127">
        <v>224088.5</v>
      </c>
      <c r="BA56" s="1624"/>
      <c r="BB56" s="167">
        <f>IF(AND(AX56=0,AZ56&lt;&gt;0),1,IF(AND(AX56=0,AZ56=0),0,AZ56/AX56-1))</f>
        <v>0.10011512281812807</v>
      </c>
      <c r="BC56" s="677"/>
      <c r="BD56" s="127">
        <v>1006</v>
      </c>
      <c r="BE56" s="1623"/>
      <c r="BF56" s="127">
        <v>1006</v>
      </c>
      <c r="BG56" s="1623"/>
      <c r="BH56" s="167">
        <f>IF(AND(BD56=0,BF56&lt;&gt;0),1,IF(AND(BD56=0,BF56=0),0,BF56/BD56-1))</f>
        <v>0</v>
      </c>
      <c r="BI56" s="677"/>
      <c r="BJ56" s="127">
        <v>89656.1</v>
      </c>
      <c r="BK56" s="1624"/>
      <c r="BL56" s="127">
        <v>141159.5</v>
      </c>
      <c r="BM56" s="1624"/>
      <c r="BN56" s="167">
        <f>IF(AND(BJ56=0,BL56&lt;&gt;0),1,IF(AND(BJ56=0,BL56=0),0,BL56/BJ56-1))</f>
        <v>0.57445505659960672</v>
      </c>
      <c r="BO56" s="677"/>
      <c r="BP56" s="127">
        <v>197596.7</v>
      </c>
      <c r="BQ56" s="1624"/>
      <c r="BR56" s="127">
        <v>292264</v>
      </c>
      <c r="BS56" s="1624"/>
      <c r="BT56" s="167">
        <f>IF(AND(BP56=0,BR56&lt;&gt;0),1,IF(AND(BP56=0,BR56=0),0,BR56/BP56-1))</f>
        <v>0.47909352737166144</v>
      </c>
      <c r="BU56" s="677"/>
      <c r="BV56" s="127">
        <v>2012</v>
      </c>
      <c r="BW56" s="1624"/>
      <c r="BX56" s="127">
        <v>2012</v>
      </c>
      <c r="BY56" s="1624"/>
      <c r="BZ56" s="679">
        <f>IF(AND(BV56=0,BX56&lt;&gt;0),1,IF(AND(BV56=0,BX56=0),0,BX56/BV56-1))</f>
        <v>0</v>
      </c>
      <c r="CD56" s="615"/>
      <c r="CE56" s="615"/>
      <c r="CF56" s="615"/>
      <c r="CG56" s="615"/>
      <c r="CH56" s="615"/>
      <c r="CI56" s="615"/>
      <c r="CJ56" s="616"/>
      <c r="CK56" s="616"/>
      <c r="CL56" s="616"/>
      <c r="CM56" s="616"/>
      <c r="CN56" s="616"/>
      <c r="CO56" s="616"/>
      <c r="CP56" s="616"/>
      <c r="CQ56" s="616"/>
      <c r="CR56" s="616"/>
      <c r="CS56" s="616"/>
    </row>
    <row r="57" spans="1:98" s="592" customFormat="1" ht="16.149999999999999" customHeight="1">
      <c r="A57" s="591"/>
      <c r="B57" s="591"/>
      <c r="C57" s="286"/>
      <c r="D57" s="564" t="s">
        <v>1841</v>
      </c>
      <c r="E57" s="716"/>
      <c r="F57" s="591"/>
      <c r="G57" s="717"/>
      <c r="H57" s="591"/>
      <c r="I57" s="553">
        <v>90</v>
      </c>
      <c r="J57" s="614"/>
      <c r="K57" s="590"/>
      <c r="L57" s="601"/>
      <c r="M57" s="898">
        <f>SUM(M4:M56)</f>
        <v>78.150000000000006</v>
      </c>
      <c r="N57" s="899">
        <f>SUM(N4:N56)</f>
        <v>1.1000000000000005</v>
      </c>
      <c r="O57" s="604">
        <f>SUM(O4:O56)</f>
        <v>11.85</v>
      </c>
      <c r="P57" s="980">
        <f>O57*0.4</f>
        <v>4.74</v>
      </c>
      <c r="Q57" s="981">
        <f t="shared" si="16"/>
        <v>0.52666666666666673</v>
      </c>
      <c r="R57" s="982">
        <f t="shared" si="17"/>
        <v>0.26333333333333336</v>
      </c>
      <c r="S57" s="677"/>
      <c r="T57" s="590"/>
      <c r="U57" s="266">
        <f>SUM(U4:U56)</f>
        <v>83</v>
      </c>
      <c r="V57" s="590"/>
      <c r="W57" s="266">
        <f>SUM(W4:W56)</f>
        <v>85</v>
      </c>
      <c r="X57" s="266"/>
      <c r="Y57" s="677"/>
      <c r="Z57" s="590"/>
      <c r="AA57" s="266">
        <f>SUM(AA4:AA56)</f>
        <v>72.5</v>
      </c>
      <c r="AB57" s="590"/>
      <c r="AC57" s="266">
        <f>SUM(AC4:AC56)</f>
        <v>75.5</v>
      </c>
      <c r="AD57" s="266"/>
      <c r="AE57" s="677"/>
      <c r="AF57" s="590"/>
      <c r="AG57" s="266">
        <f>SUM(AG4:AG56)</f>
        <v>86</v>
      </c>
      <c r="AH57" s="590"/>
      <c r="AI57" s="266">
        <f>SUM(AI4:AI56)</f>
        <v>88</v>
      </c>
      <c r="AJ57" s="266"/>
      <c r="AK57" s="677"/>
      <c r="AL57" s="590"/>
      <c r="AM57" s="266">
        <f>SUM(AM4:AM56)</f>
        <v>88</v>
      </c>
      <c r="AN57" s="590"/>
      <c r="AO57" s="266">
        <f>SUM(AO4:AO56)</f>
        <v>88</v>
      </c>
      <c r="AP57" s="266"/>
      <c r="AQ57" s="677"/>
      <c r="AR57" s="590"/>
      <c r="AS57" s="266">
        <f>SUM(AS4:AS56)</f>
        <v>89</v>
      </c>
      <c r="AT57" s="590"/>
      <c r="AU57" s="266">
        <f>SUM(AU4:AU56)</f>
        <v>89</v>
      </c>
      <c r="AV57" s="266"/>
      <c r="AW57" s="677"/>
      <c r="AX57" s="590"/>
      <c r="AY57" s="266">
        <f>SUM(AY4:AY56)</f>
        <v>79.5</v>
      </c>
      <c r="AZ57" s="590"/>
      <c r="BA57" s="266">
        <f>SUM(BA4:BA56)</f>
        <v>79.5</v>
      </c>
      <c r="BB57" s="266"/>
      <c r="BC57" s="677"/>
      <c r="BD57" s="590"/>
      <c r="BE57" s="266">
        <f>SUM(BE4:BE56)</f>
        <v>86</v>
      </c>
      <c r="BF57" s="590"/>
      <c r="BG57" s="266">
        <f>SUM(BG4:BG56)</f>
        <v>88</v>
      </c>
      <c r="BH57" s="266"/>
      <c r="BI57" s="677"/>
      <c r="BJ57" s="590"/>
      <c r="BK57" s="266">
        <f>SUM(BK4:BK56)</f>
        <v>77.5</v>
      </c>
      <c r="BL57" s="590"/>
      <c r="BM57" s="266">
        <f>SUM(BM4:BM56)</f>
        <v>79.5</v>
      </c>
      <c r="BN57" s="266"/>
      <c r="BO57" s="677"/>
      <c r="BP57" s="590"/>
      <c r="BQ57" s="266">
        <f>SUM(BQ4:BQ56)</f>
        <v>79.5</v>
      </c>
      <c r="BR57" s="590"/>
      <c r="BS57" s="266">
        <f>SUM(BS4:BS56)</f>
        <v>79.5</v>
      </c>
      <c r="BT57" s="266"/>
      <c r="BU57" s="677"/>
      <c r="BV57" s="590"/>
      <c r="BW57" s="266">
        <f>SUM(BW4:BW56)</f>
        <v>79.5</v>
      </c>
      <c r="BX57" s="590"/>
      <c r="BY57" s="266">
        <f>SUM(BY4:BY56)</f>
        <v>79.5</v>
      </c>
      <c r="BZ57" s="266"/>
      <c r="CD57" s="619"/>
      <c r="CE57" s="619"/>
      <c r="CF57" s="619"/>
      <c r="CG57" s="619"/>
      <c r="CH57" s="619"/>
      <c r="CI57" s="619"/>
      <c r="CJ57" s="620"/>
      <c r="CK57" s="620"/>
      <c r="CL57" s="620"/>
      <c r="CM57" s="620"/>
      <c r="CN57" s="620"/>
      <c r="CO57" s="620"/>
      <c r="CP57" s="620"/>
      <c r="CQ57" s="620"/>
      <c r="CR57" s="620"/>
      <c r="CS57" s="620"/>
    </row>
    <row r="58" spans="1:98" s="592" customFormat="1" ht="14.25">
      <c r="A58" s="594"/>
      <c r="B58" s="594"/>
      <c r="C58" s="288"/>
      <c r="D58" s="564" t="s">
        <v>1842</v>
      </c>
      <c r="E58" s="594"/>
      <c r="F58" s="594"/>
      <c r="G58" s="610"/>
      <c r="H58" s="594"/>
      <c r="I58" s="553">
        <v>80</v>
      </c>
      <c r="J58" s="289"/>
      <c r="K58" s="289"/>
      <c r="L58" s="289"/>
      <c r="M58" s="605">
        <f>M4+M5+M9+M12+M15+M16+M17+M20+M22+M23+M28+M32+M35+M37+M38+M40+M43+M46+M48+M49+M50+M52</f>
        <v>78.150000000000006</v>
      </c>
      <c r="N58" s="289"/>
      <c r="O58" s="604">
        <f>SUM(O4:O52)</f>
        <v>1.8499999999999996</v>
      </c>
      <c r="P58" s="980">
        <f t="shared" ref="P58:R64" si="49">O58*0.4</f>
        <v>0.73999999999999988</v>
      </c>
      <c r="Q58" s="981">
        <f t="shared" si="16"/>
        <v>8.222222222222221E-2</v>
      </c>
      <c r="R58" s="982">
        <f t="shared" si="17"/>
        <v>4.1111111111111105E-2</v>
      </c>
      <c r="S58" s="1071" t="s">
        <v>1843</v>
      </c>
      <c r="T58" s="594"/>
      <c r="U58" s="610"/>
      <c r="V58" s="594"/>
      <c r="W58" s="610"/>
      <c r="X58" s="610"/>
      <c r="Y58" s="610"/>
      <c r="Z58" s="594"/>
      <c r="AA58" s="610"/>
      <c r="AB58" s="594"/>
      <c r="AC58" s="610"/>
      <c r="AD58" s="610"/>
      <c r="AE58" s="610"/>
      <c r="AF58" s="594"/>
      <c r="AG58" s="610"/>
      <c r="AH58" s="594"/>
      <c r="AI58" s="610"/>
      <c r="AJ58" s="610"/>
      <c r="AK58" s="610"/>
      <c r="AL58" s="594"/>
      <c r="AM58" s="610"/>
      <c r="AN58" s="594"/>
      <c r="AO58" s="610"/>
      <c r="AP58" s="610"/>
      <c r="AQ58" s="610"/>
      <c r="AR58" s="594"/>
      <c r="AS58" s="610"/>
      <c r="AT58" s="594"/>
      <c r="AU58" s="610"/>
      <c r="AV58" s="610"/>
      <c r="AW58" s="610"/>
      <c r="AX58" s="594"/>
      <c r="AY58" s="610"/>
      <c r="AZ58" s="594"/>
      <c r="BA58" s="610"/>
      <c r="BB58" s="610"/>
      <c r="BC58" s="610"/>
      <c r="BD58" s="594"/>
      <c r="BE58" s="610"/>
      <c r="BF58" s="594"/>
      <c r="BG58" s="610"/>
      <c r="BH58" s="610"/>
      <c r="BI58" s="610"/>
      <c r="BJ58" s="594"/>
      <c r="BK58" s="610"/>
      <c r="BL58" s="594"/>
      <c r="BM58" s="610"/>
      <c r="BN58" s="610"/>
      <c r="BO58" s="610"/>
      <c r="BP58" s="594"/>
      <c r="BQ58" s="610"/>
      <c r="BR58" s="594"/>
      <c r="BS58" s="610"/>
      <c r="BT58" s="610"/>
      <c r="BU58" s="610"/>
      <c r="BV58" s="594"/>
      <c r="BW58" s="610"/>
      <c r="BX58" s="594"/>
      <c r="BY58" s="610"/>
      <c r="BZ58" s="610"/>
      <c r="CC58" s="592" t="s">
        <v>1875</v>
      </c>
      <c r="CD58" s="619"/>
      <c r="CE58" s="619">
        <f>SUMPRODUCT(CE4:CE53,CD4:CD53)</f>
        <v>50.849999999999994</v>
      </c>
      <c r="CF58" s="619"/>
      <c r="CG58" s="619">
        <f>SUMPRODUCT(CG4:CG53,CF4:CF53)</f>
        <v>65.25</v>
      </c>
      <c r="CH58" s="619"/>
      <c r="CI58" s="619">
        <f>SUMPRODUCT(CI4:CI53,CH4:CH53)</f>
        <v>5</v>
      </c>
      <c r="CJ58" s="620"/>
      <c r="CK58" s="619">
        <f>SUMPRODUCT(CK4:CK53,CJ4:CJ53)</f>
        <v>18.95</v>
      </c>
      <c r="CL58" s="620"/>
      <c r="CM58" s="619">
        <f>SUMPRODUCT(CM4:CM53,CL4:CL53)</f>
        <v>35.400000000000006</v>
      </c>
      <c r="CN58" s="620"/>
      <c r="CO58" s="619">
        <f>SUMPRODUCT(CO4:CO53,CN4:CN53)</f>
        <v>31.299999999999997</v>
      </c>
      <c r="CP58" s="620"/>
      <c r="CQ58" s="619">
        <f>SUMPRODUCT(CQ4:CQ53,CP4:CP53)</f>
        <v>28</v>
      </c>
      <c r="CR58" s="620"/>
      <c r="CS58" s="619">
        <f>SUMPRODUCT(CS4:CS53,CR4:CR53)</f>
        <v>29</v>
      </c>
      <c r="CT58" s="593"/>
    </row>
    <row r="59" spans="1:98" s="595" customFormat="1" ht="16.5" customHeight="1">
      <c r="A59" s="366"/>
      <c r="B59" s="366"/>
      <c r="C59" s="365"/>
      <c r="D59" s="564" t="s">
        <v>1844</v>
      </c>
      <c r="E59" s="366"/>
      <c r="F59" s="366"/>
      <c r="G59" s="367"/>
      <c r="H59" s="366"/>
      <c r="I59" s="553">
        <v>10</v>
      </c>
      <c r="J59" s="600"/>
      <c r="K59" s="368"/>
      <c r="L59" s="368"/>
      <c r="M59" s="782">
        <f>M53</f>
        <v>0</v>
      </c>
      <c r="N59" s="368"/>
      <c r="O59" s="604"/>
      <c r="P59" s="980"/>
      <c r="Q59" s="981"/>
      <c r="R59" s="1070"/>
      <c r="S59" s="1072"/>
      <c r="T59" s="611"/>
      <c r="U59" s="611"/>
      <c r="V59" s="612"/>
      <c r="W59" s="613"/>
      <c r="X59" s="611"/>
      <c r="Y59" s="611"/>
      <c r="Z59" s="611"/>
      <c r="AA59" s="611"/>
      <c r="AB59" s="612"/>
      <c r="AC59" s="613"/>
      <c r="AD59" s="611"/>
      <c r="AE59" s="611"/>
      <c r="AF59" s="611"/>
      <c r="AG59" s="611"/>
      <c r="AH59" s="612"/>
      <c r="AI59" s="613"/>
      <c r="AJ59" s="611"/>
      <c r="AK59" s="611"/>
      <c r="AL59" s="611"/>
      <c r="AM59" s="611"/>
      <c r="AN59" s="612"/>
      <c r="AO59" s="613"/>
      <c r="AP59" s="611"/>
      <c r="AQ59" s="611"/>
      <c r="AR59" s="611"/>
      <c r="AS59" s="611"/>
      <c r="AT59" s="612"/>
      <c r="AU59" s="613"/>
      <c r="AV59" s="611"/>
      <c r="AW59" s="611"/>
      <c r="AX59" s="611"/>
      <c r="AY59" s="611"/>
      <c r="AZ59" s="612"/>
      <c r="BA59" s="613"/>
      <c r="BB59" s="611"/>
      <c r="BC59" s="611"/>
      <c r="BD59" s="611"/>
      <c r="BE59" s="611"/>
      <c r="BF59" s="612"/>
      <c r="BG59" s="613"/>
      <c r="BH59" s="611"/>
      <c r="BI59" s="611"/>
      <c r="BJ59" s="611"/>
      <c r="BK59" s="611"/>
      <c r="BL59" s="612"/>
      <c r="BM59" s="613"/>
      <c r="BN59" s="611"/>
      <c r="BO59" s="611"/>
      <c r="BP59" s="611"/>
      <c r="BQ59" s="611"/>
      <c r="BR59" s="612"/>
      <c r="BS59" s="613"/>
      <c r="BT59" s="611"/>
      <c r="BU59" s="611"/>
      <c r="BV59" s="611"/>
      <c r="BW59" s="611"/>
      <c r="BX59" s="612"/>
      <c r="BY59" s="611"/>
      <c r="BZ59" s="611"/>
      <c r="CC59" s="592" t="s">
        <v>1876</v>
      </c>
      <c r="CD59" s="619"/>
      <c r="CE59" s="619">
        <f>SUMPRODUCT($I$4:$I$53,CD4:CD53)</f>
        <v>51.5</v>
      </c>
      <c r="CF59" s="619"/>
      <c r="CG59" s="619">
        <f>SUMPRODUCT($I$4:$I$53,CF4:CF53)</f>
        <v>66</v>
      </c>
      <c r="CH59" s="619"/>
      <c r="CI59" s="619">
        <f>SUMPRODUCT($I$4:$I$53,CH4:CH53)</f>
        <v>5</v>
      </c>
      <c r="CJ59" s="619"/>
      <c r="CK59" s="619">
        <f>SUMPRODUCT($I$4:$I$53,CJ4:CJ53)</f>
        <v>29</v>
      </c>
      <c r="CL59" s="619"/>
      <c r="CM59" s="619">
        <f>SUMPRODUCT($I$4:$I$53,CL4:CL53)</f>
        <v>36</v>
      </c>
      <c r="CN59" s="619"/>
      <c r="CO59" s="619">
        <f>SUMPRODUCT($I$4:$I$53,CN4:CN53)</f>
        <v>33</v>
      </c>
      <c r="CP59" s="621"/>
      <c r="CQ59" s="619">
        <f>SUMPRODUCT($I$4:$I$53,CP4:CP53)</f>
        <v>29</v>
      </c>
      <c r="CR59" s="621"/>
      <c r="CS59" s="619">
        <f>SUMPRODUCT($I$4:$I$53,CR4:CR53)</f>
        <v>29</v>
      </c>
      <c r="CT59" s="593"/>
    </row>
    <row r="60" spans="1:98" s="53" customFormat="1" ht="16.5" customHeight="1">
      <c r="A60" s="271"/>
      <c r="B60" s="271"/>
      <c r="C60" s="278"/>
      <c r="D60" s="565" t="s">
        <v>1877</v>
      </c>
      <c r="E60" s="271"/>
      <c r="F60" s="270"/>
      <c r="H60" s="270"/>
      <c r="I60" s="26"/>
      <c r="J60" s="83"/>
      <c r="K60" s="26"/>
      <c r="L60" s="26"/>
      <c r="M60" s="26"/>
      <c r="N60" s="26"/>
      <c r="O60" s="609">
        <f>AVERAGE(W60,AC60,AI60,AO60,AU60,BA60,BG60,BM60,BS60,BY60)</f>
        <v>83.15</v>
      </c>
      <c r="P60" s="814"/>
      <c r="Q60" s="983"/>
      <c r="R60" s="984"/>
      <c r="S60" s="26"/>
      <c r="T60" s="580"/>
      <c r="U60" s="606">
        <f>SUBTOTAL(9,U4:U56)</f>
        <v>83</v>
      </c>
      <c r="V60" s="580"/>
      <c r="W60" s="606">
        <f>SUBTOTAL(9,W4:W56)</f>
        <v>85</v>
      </c>
      <c r="X60" s="580"/>
      <c r="Y60" s="580"/>
      <c r="Z60" s="580"/>
      <c r="AA60" s="606">
        <f>SUBTOTAL(9,AA4:AA56)</f>
        <v>72.5</v>
      </c>
      <c r="AB60" s="580"/>
      <c r="AC60" s="607">
        <f>SUBTOTAL(9,AC4:AC56)</f>
        <v>75.5</v>
      </c>
      <c r="AD60" s="580"/>
      <c r="AE60" s="580"/>
      <c r="AF60" s="580"/>
      <c r="AG60" s="606">
        <f>SUBTOTAL(9,AG4:AG56)</f>
        <v>86</v>
      </c>
      <c r="AH60" s="580"/>
      <c r="AI60" s="606">
        <f>SUBTOTAL(9,AI4:AI56)</f>
        <v>88</v>
      </c>
      <c r="AJ60" s="580"/>
      <c r="AK60" s="580"/>
      <c r="AL60" s="580"/>
      <c r="AM60" s="606">
        <f>SUBTOTAL(9,AM4:AM56)</f>
        <v>88</v>
      </c>
      <c r="AN60" s="580"/>
      <c r="AO60" s="607">
        <f>SUBTOTAL(9,AO4:AO56)</f>
        <v>88</v>
      </c>
      <c r="AP60" s="580"/>
      <c r="AQ60" s="580"/>
      <c r="AR60" s="580"/>
      <c r="AS60" s="606">
        <f>SUBTOTAL(9,AS4:AS56)</f>
        <v>89</v>
      </c>
      <c r="AT60" s="580"/>
      <c r="AU60" s="606">
        <f>SUBTOTAL(9,AU4:AU56)</f>
        <v>89</v>
      </c>
      <c r="AV60" s="580"/>
      <c r="AW60" s="580"/>
      <c r="AX60" s="580"/>
      <c r="AY60" s="606">
        <f>SUBTOTAL(9,AY4:AY56)</f>
        <v>79.5</v>
      </c>
      <c r="AZ60" s="580"/>
      <c r="BA60" s="607">
        <f>SUBTOTAL(9,BA4:BA56)</f>
        <v>79.5</v>
      </c>
      <c r="BB60" s="580"/>
      <c r="BC60" s="580"/>
      <c r="BD60" s="580"/>
      <c r="BE60" s="606">
        <f>SUBTOTAL(9,BE4:BE56)</f>
        <v>86</v>
      </c>
      <c r="BF60" s="580"/>
      <c r="BG60" s="606">
        <f>SUBTOTAL(9,BG4:BG56)</f>
        <v>88</v>
      </c>
      <c r="BH60" s="580"/>
      <c r="BI60" s="580"/>
      <c r="BJ60" s="580"/>
      <c r="BK60" s="606">
        <f>SUBTOTAL(9,BK4:BK56)</f>
        <v>77.5</v>
      </c>
      <c r="BL60" s="580"/>
      <c r="BM60" s="607">
        <f>SUBTOTAL(9,BM4:BM56)</f>
        <v>79.5</v>
      </c>
      <c r="BN60" s="580"/>
      <c r="BO60" s="580"/>
      <c r="BP60" s="580"/>
      <c r="BQ60" s="606">
        <f>SUBTOTAL(9,BQ4:BQ56)</f>
        <v>79.5</v>
      </c>
      <c r="BR60" s="580"/>
      <c r="BS60" s="606">
        <f>SUBTOTAL(9,BS4:BS56)</f>
        <v>79.5</v>
      </c>
      <c r="BT60" s="580"/>
      <c r="BU60" s="580"/>
      <c r="BV60" s="580"/>
      <c r="BW60" s="606">
        <f>SUBTOTAL(9,BW4:BW56)</f>
        <v>79.5</v>
      </c>
      <c r="BX60" s="580"/>
      <c r="BY60" s="607">
        <f>SUBTOTAL(9,BY4:BY56)</f>
        <v>79.5</v>
      </c>
      <c r="BZ60" s="580"/>
      <c r="CD60" s="423"/>
      <c r="CE60" s="423"/>
      <c r="CF60" s="423"/>
      <c r="CG60" s="423"/>
      <c r="CH60" s="423"/>
      <c r="CI60" s="423"/>
      <c r="CJ60" s="586"/>
      <c r="CK60" s="586"/>
      <c r="CL60" s="586"/>
      <c r="CM60" s="586"/>
      <c r="CN60" s="586"/>
      <c r="CO60" s="586"/>
      <c r="CP60" s="586"/>
      <c r="CQ60" s="586"/>
      <c r="CR60" s="586"/>
      <c r="CS60" s="586"/>
    </row>
    <row r="61" spans="1:98" s="53" customFormat="1" ht="16.5" customHeight="1">
      <c r="A61" s="26"/>
      <c r="B61" s="26"/>
      <c r="C61" s="278"/>
      <c r="D61" s="608" t="s">
        <v>1871</v>
      </c>
      <c r="E61" s="26"/>
      <c r="F61" s="7"/>
      <c r="H61" s="7"/>
      <c r="I61" s="26"/>
      <c r="J61" s="83"/>
      <c r="K61" s="26"/>
      <c r="L61" s="26"/>
      <c r="M61" s="26"/>
      <c r="N61" s="26"/>
      <c r="O61" s="609">
        <f t="shared" ref="O61:O65" si="50">AVERAGE(W61,AC61,AI61,AO61,AU61,BA61,BG61,BM61,BS61,BY61)</f>
        <v>78.150000000000006</v>
      </c>
      <c r="P61" s="814"/>
      <c r="Q61" s="983"/>
      <c r="R61" s="984"/>
      <c r="S61" s="26"/>
      <c r="T61" s="580"/>
      <c r="U61" s="597">
        <f>U60-U62</f>
        <v>73</v>
      </c>
      <c r="V61" s="580"/>
      <c r="W61" s="597">
        <f t="shared" ref="W61:BY61" si="51">W60-W62</f>
        <v>75</v>
      </c>
      <c r="X61" s="580"/>
      <c r="Y61" s="580"/>
      <c r="Z61" s="580"/>
      <c r="AA61" s="597">
        <f t="shared" si="51"/>
        <v>72.5</v>
      </c>
      <c r="AB61" s="580"/>
      <c r="AC61" s="597">
        <f>AC60-AC62</f>
        <v>75.5</v>
      </c>
      <c r="AD61" s="580"/>
      <c r="AE61" s="580"/>
      <c r="AF61" s="580"/>
      <c r="AG61" s="597">
        <f t="shared" si="51"/>
        <v>76</v>
      </c>
      <c r="AH61" s="580"/>
      <c r="AI61" s="597">
        <f>AI60-AI62</f>
        <v>78</v>
      </c>
      <c r="AJ61" s="580"/>
      <c r="AK61" s="580"/>
      <c r="AL61" s="580"/>
      <c r="AM61" s="597">
        <f t="shared" si="51"/>
        <v>78</v>
      </c>
      <c r="AN61" s="580"/>
      <c r="AO61" s="597">
        <f t="shared" si="51"/>
        <v>78</v>
      </c>
      <c r="AP61" s="580"/>
      <c r="AQ61" s="580"/>
      <c r="AR61" s="580"/>
      <c r="AS61" s="597">
        <f t="shared" si="51"/>
        <v>79</v>
      </c>
      <c r="AT61" s="580"/>
      <c r="AU61" s="597">
        <f t="shared" si="51"/>
        <v>79</v>
      </c>
      <c r="AV61" s="580"/>
      <c r="AW61" s="580"/>
      <c r="AX61" s="580"/>
      <c r="AY61" s="597">
        <f t="shared" si="51"/>
        <v>79.5</v>
      </c>
      <c r="AZ61" s="580"/>
      <c r="BA61" s="597">
        <f t="shared" si="51"/>
        <v>79.5</v>
      </c>
      <c r="BB61" s="580"/>
      <c r="BC61" s="580"/>
      <c r="BD61" s="580"/>
      <c r="BE61" s="597">
        <f t="shared" si="51"/>
        <v>76</v>
      </c>
      <c r="BF61" s="580"/>
      <c r="BG61" s="597">
        <f t="shared" si="51"/>
        <v>78</v>
      </c>
      <c r="BH61" s="580"/>
      <c r="BI61" s="580"/>
      <c r="BJ61" s="580"/>
      <c r="BK61" s="597">
        <f t="shared" si="51"/>
        <v>77.5</v>
      </c>
      <c r="BL61" s="580"/>
      <c r="BM61" s="597">
        <f t="shared" si="51"/>
        <v>79.5</v>
      </c>
      <c r="BN61" s="580"/>
      <c r="BO61" s="580"/>
      <c r="BP61" s="580"/>
      <c r="BQ61" s="597">
        <f t="shared" si="51"/>
        <v>79.5</v>
      </c>
      <c r="BR61" s="580"/>
      <c r="BS61" s="597">
        <f t="shared" si="51"/>
        <v>79.5</v>
      </c>
      <c r="BT61" s="580"/>
      <c r="BU61" s="580"/>
      <c r="BV61" s="580"/>
      <c r="BW61" s="597">
        <f t="shared" si="51"/>
        <v>79.5</v>
      </c>
      <c r="BX61" s="580"/>
      <c r="BY61" s="597">
        <f t="shared" si="51"/>
        <v>79.5</v>
      </c>
      <c r="BZ61" s="580"/>
      <c r="CD61" s="423"/>
      <c r="CE61" s="423"/>
      <c r="CF61" s="423"/>
      <c r="CG61" s="423"/>
      <c r="CH61" s="423"/>
      <c r="CI61" s="423"/>
      <c r="CJ61" s="586"/>
      <c r="CK61" s="586"/>
      <c r="CL61" s="586"/>
      <c r="CM61" s="586"/>
      <c r="CN61" s="586"/>
      <c r="CO61" s="586"/>
      <c r="CP61" s="586"/>
      <c r="CQ61" s="586"/>
      <c r="CR61" s="586"/>
      <c r="CS61" s="586"/>
    </row>
    <row r="62" spans="1:98" s="53" customFormat="1" ht="16.5" customHeight="1">
      <c r="A62" s="26"/>
      <c r="B62" s="26"/>
      <c r="C62" s="278"/>
      <c r="D62" s="608" t="s">
        <v>1881</v>
      </c>
      <c r="E62" s="26"/>
      <c r="F62" s="7"/>
      <c r="H62" s="7"/>
      <c r="I62" s="26"/>
      <c r="J62" s="83"/>
      <c r="K62" s="26"/>
      <c r="L62" s="26"/>
      <c r="M62" s="26"/>
      <c r="N62" s="26"/>
      <c r="O62" s="850">
        <f t="shared" si="50"/>
        <v>5</v>
      </c>
      <c r="P62" s="980">
        <f t="shared" si="49"/>
        <v>2</v>
      </c>
      <c r="Q62" s="981">
        <f t="shared" ref="Q62:Q63" si="52">P62/9</f>
        <v>0.22222222222222221</v>
      </c>
      <c r="R62" s="982">
        <f t="shared" ref="R62:R63" si="53">Q62/2</f>
        <v>0.1111111111111111</v>
      </c>
      <c r="S62" s="26"/>
      <c r="T62" s="580"/>
      <c r="U62" s="597">
        <f>IF(U53=10,10,0)</f>
        <v>10</v>
      </c>
      <c r="V62" s="580"/>
      <c r="W62" s="597">
        <f>IF(W53=10,10,0)</f>
        <v>10</v>
      </c>
      <c r="X62" s="580"/>
      <c r="Y62" s="580"/>
      <c r="Z62" s="580"/>
      <c r="AA62" s="597">
        <f>IF(AA53=10,10,0)</f>
        <v>0</v>
      </c>
      <c r="AB62" s="580"/>
      <c r="AC62" s="597">
        <f>IF(AC53=10,10,0)</f>
        <v>0</v>
      </c>
      <c r="AD62" s="580"/>
      <c r="AE62" s="580"/>
      <c r="AF62" s="580"/>
      <c r="AG62" s="597">
        <f>IF(AG53=10,10,0)</f>
        <v>10</v>
      </c>
      <c r="AH62" s="580"/>
      <c r="AI62" s="597">
        <f>IF(AI53=10,10,0)</f>
        <v>10</v>
      </c>
      <c r="AJ62" s="580"/>
      <c r="AK62" s="580"/>
      <c r="AL62" s="580"/>
      <c r="AM62" s="597">
        <f>IF(AM53=10,10,0)</f>
        <v>10</v>
      </c>
      <c r="AN62" s="580"/>
      <c r="AO62" s="597">
        <f>IF(AO53=10,10,0)</f>
        <v>10</v>
      </c>
      <c r="AP62" s="580"/>
      <c r="AQ62" s="580"/>
      <c r="AR62" s="580"/>
      <c r="AS62" s="597">
        <f>IF(AS53=10,10,0)</f>
        <v>10</v>
      </c>
      <c r="AT62" s="580"/>
      <c r="AU62" s="597">
        <f>IF(AU53=10,10,0)</f>
        <v>10</v>
      </c>
      <c r="AV62" s="580"/>
      <c r="AW62" s="580"/>
      <c r="AX62" s="580"/>
      <c r="AY62" s="597">
        <f>IF(AY53=10,10,0)</f>
        <v>0</v>
      </c>
      <c r="AZ62" s="580"/>
      <c r="BA62" s="597">
        <f>IF(BA53=10,10,0)</f>
        <v>0</v>
      </c>
      <c r="BB62" s="580"/>
      <c r="BC62" s="580"/>
      <c r="BD62" s="580"/>
      <c r="BE62" s="597">
        <f>IF(BE53=10,10,0)</f>
        <v>10</v>
      </c>
      <c r="BF62" s="580"/>
      <c r="BG62" s="597">
        <f>IF(BG53=10,10,0)</f>
        <v>10</v>
      </c>
      <c r="BH62" s="580"/>
      <c r="BI62" s="580"/>
      <c r="BJ62" s="580"/>
      <c r="BK62" s="597">
        <f>IF(BK53=10,10,0)</f>
        <v>0</v>
      </c>
      <c r="BL62" s="580"/>
      <c r="BM62" s="597">
        <f>IF(BM53=10,10,0)</f>
        <v>0</v>
      </c>
      <c r="BN62" s="580"/>
      <c r="BO62" s="580"/>
      <c r="BP62" s="580"/>
      <c r="BQ62" s="597">
        <f>IF(BQ53=10,10,0)</f>
        <v>0</v>
      </c>
      <c r="BR62" s="580"/>
      <c r="BS62" s="597">
        <f>IF(BS53=10,10,0)</f>
        <v>0</v>
      </c>
      <c r="BT62" s="580"/>
      <c r="BU62" s="580"/>
      <c r="BV62" s="580"/>
      <c r="BW62" s="597">
        <f>IF(BW53=10,10,0)</f>
        <v>0</v>
      </c>
      <c r="BX62" s="580"/>
      <c r="BY62" s="597">
        <f>IF(BY53=10,10,0)</f>
        <v>0</v>
      </c>
      <c r="BZ62" s="580"/>
      <c r="CD62" s="423"/>
      <c r="CE62" s="423"/>
      <c r="CF62" s="423"/>
      <c r="CG62" s="423"/>
      <c r="CH62" s="423"/>
      <c r="CI62" s="423"/>
      <c r="CJ62" s="586"/>
      <c r="CK62" s="586"/>
      <c r="CL62" s="586"/>
      <c r="CM62" s="586"/>
      <c r="CN62" s="586"/>
      <c r="CO62" s="586"/>
      <c r="CP62" s="586"/>
      <c r="CQ62" s="586"/>
      <c r="CR62" s="586"/>
      <c r="CS62" s="586"/>
    </row>
    <row r="63" spans="1:98" s="53" customFormat="1" ht="16.5" customHeight="1">
      <c r="A63" s="26"/>
      <c r="B63" s="26"/>
      <c r="C63" s="278"/>
      <c r="D63" s="608" t="s">
        <v>1878</v>
      </c>
      <c r="E63" s="26"/>
      <c r="F63" s="7"/>
      <c r="H63" s="7"/>
      <c r="I63" s="26"/>
      <c r="J63" s="83"/>
      <c r="K63" s="26"/>
      <c r="L63" s="26"/>
      <c r="M63" s="26"/>
      <c r="N63" s="26"/>
      <c r="O63" s="850">
        <f t="shared" si="50"/>
        <v>5</v>
      </c>
      <c r="P63" s="980">
        <f t="shared" si="49"/>
        <v>2</v>
      </c>
      <c r="Q63" s="981">
        <f t="shared" si="52"/>
        <v>0.22222222222222221</v>
      </c>
      <c r="R63" s="982">
        <f t="shared" si="53"/>
        <v>0.1111111111111111</v>
      </c>
      <c r="S63" s="26"/>
      <c r="T63" s="580"/>
      <c r="U63" s="577">
        <f>10-U62</f>
        <v>0</v>
      </c>
      <c r="V63" s="580"/>
      <c r="W63" s="577">
        <f>10-W62</f>
        <v>0</v>
      </c>
      <c r="X63" s="580"/>
      <c r="Y63" s="580"/>
      <c r="Z63" s="580"/>
      <c r="AA63" s="577">
        <f>10-AA62</f>
        <v>10</v>
      </c>
      <c r="AB63" s="580"/>
      <c r="AC63" s="577">
        <f>10-AC62</f>
        <v>10</v>
      </c>
      <c r="AD63" s="580"/>
      <c r="AE63" s="580"/>
      <c r="AF63" s="580"/>
      <c r="AG63" s="577">
        <f>10-AG62</f>
        <v>0</v>
      </c>
      <c r="AH63" s="580"/>
      <c r="AI63" s="577">
        <f>10-AI62</f>
        <v>0</v>
      </c>
      <c r="AJ63" s="580"/>
      <c r="AK63" s="580"/>
      <c r="AL63" s="580"/>
      <c r="AM63" s="577">
        <f>10-AM62</f>
        <v>0</v>
      </c>
      <c r="AN63" s="580"/>
      <c r="AO63" s="577">
        <f>10-AO62</f>
        <v>0</v>
      </c>
      <c r="AP63" s="580"/>
      <c r="AQ63" s="580"/>
      <c r="AR63" s="580"/>
      <c r="AS63" s="577">
        <f>10-AS62</f>
        <v>0</v>
      </c>
      <c r="AT63" s="580"/>
      <c r="AU63" s="577">
        <f>10-AU62</f>
        <v>0</v>
      </c>
      <c r="AV63" s="580"/>
      <c r="AW63" s="580"/>
      <c r="AX63" s="580"/>
      <c r="AY63" s="577">
        <f>10-AY62</f>
        <v>10</v>
      </c>
      <c r="AZ63" s="580"/>
      <c r="BA63" s="577">
        <f>10-BA62</f>
        <v>10</v>
      </c>
      <c r="BB63" s="580"/>
      <c r="BC63" s="580"/>
      <c r="BD63" s="580"/>
      <c r="BE63" s="577">
        <f>10-BE62</f>
        <v>0</v>
      </c>
      <c r="BF63" s="580"/>
      <c r="BG63" s="577">
        <f>10-BG62</f>
        <v>0</v>
      </c>
      <c r="BH63" s="580"/>
      <c r="BI63" s="580"/>
      <c r="BJ63" s="580"/>
      <c r="BK63" s="577">
        <f>10-BK62</f>
        <v>10</v>
      </c>
      <c r="BL63" s="580"/>
      <c r="BM63" s="577">
        <f>10-BM62</f>
        <v>10</v>
      </c>
      <c r="BN63" s="580"/>
      <c r="BO63" s="580"/>
      <c r="BP63" s="580"/>
      <c r="BQ63" s="577">
        <f>10-BQ62</f>
        <v>10</v>
      </c>
      <c r="BR63" s="580"/>
      <c r="BS63" s="577">
        <f>10-BS62</f>
        <v>10</v>
      </c>
      <c r="BT63" s="580"/>
      <c r="BU63" s="580"/>
      <c r="BV63" s="580"/>
      <c r="BW63" s="577">
        <f>10-BW62</f>
        <v>10</v>
      </c>
      <c r="BX63" s="580"/>
      <c r="BY63" s="577">
        <v>10</v>
      </c>
      <c r="BZ63" s="580"/>
      <c r="CD63" s="423"/>
      <c r="CE63" s="423"/>
      <c r="CF63" s="423"/>
      <c r="CG63" s="423"/>
      <c r="CH63" s="423"/>
      <c r="CI63" s="423"/>
      <c r="CJ63" s="586"/>
      <c r="CK63" s="586"/>
      <c r="CL63" s="586"/>
      <c r="CM63" s="586"/>
      <c r="CN63" s="586"/>
      <c r="CO63" s="586"/>
      <c r="CP63" s="586"/>
      <c r="CQ63" s="586"/>
      <c r="CR63" s="586"/>
      <c r="CS63" s="586"/>
    </row>
    <row r="64" spans="1:98" s="53" customFormat="1" ht="16.5" customHeight="1">
      <c r="A64" s="26"/>
      <c r="B64" s="26"/>
      <c r="C64" s="278"/>
      <c r="D64" s="608" t="s">
        <v>1879</v>
      </c>
      <c r="E64" s="26"/>
      <c r="F64" s="7"/>
      <c r="H64" s="7"/>
      <c r="I64" s="793">
        <v>10</v>
      </c>
      <c r="J64" s="83"/>
      <c r="K64" s="26"/>
      <c r="L64" s="26"/>
      <c r="M64" s="26"/>
      <c r="N64" s="26"/>
      <c r="O64" s="850">
        <f t="shared" si="50"/>
        <v>10</v>
      </c>
      <c r="P64" s="980">
        <f t="shared" si="49"/>
        <v>4</v>
      </c>
      <c r="Q64" s="980">
        <f t="shared" si="49"/>
        <v>1.6</v>
      </c>
      <c r="R64" s="980">
        <f t="shared" si="49"/>
        <v>0.64000000000000012</v>
      </c>
      <c r="S64" s="26"/>
      <c r="T64" s="580"/>
      <c r="U64" s="577">
        <v>10</v>
      </c>
      <c r="V64" s="580"/>
      <c r="W64" s="577">
        <v>10</v>
      </c>
      <c r="X64" s="580"/>
      <c r="Y64" s="580"/>
      <c r="Z64" s="580"/>
      <c r="AA64" s="577">
        <v>10</v>
      </c>
      <c r="AB64" s="580"/>
      <c r="AC64" s="577">
        <v>10</v>
      </c>
      <c r="AD64" s="580"/>
      <c r="AE64" s="580"/>
      <c r="AF64" s="580"/>
      <c r="AG64" s="577">
        <v>10</v>
      </c>
      <c r="AH64" s="580"/>
      <c r="AI64" s="577">
        <v>10</v>
      </c>
      <c r="AJ64" s="580"/>
      <c r="AK64" s="580"/>
      <c r="AL64" s="580"/>
      <c r="AM64" s="577">
        <v>10</v>
      </c>
      <c r="AN64" s="580"/>
      <c r="AO64" s="577">
        <v>10</v>
      </c>
      <c r="AP64" s="580"/>
      <c r="AQ64" s="580"/>
      <c r="AR64" s="580"/>
      <c r="AS64" s="577">
        <v>10</v>
      </c>
      <c r="AT64" s="580"/>
      <c r="AU64" s="577">
        <v>10</v>
      </c>
      <c r="AV64" s="580"/>
      <c r="AW64" s="580"/>
      <c r="AX64" s="580"/>
      <c r="AY64" s="577">
        <v>10</v>
      </c>
      <c r="AZ64" s="580"/>
      <c r="BA64" s="577">
        <v>10</v>
      </c>
      <c r="BB64" s="580"/>
      <c r="BC64" s="580"/>
      <c r="BD64" s="580"/>
      <c r="BE64" s="577">
        <v>10</v>
      </c>
      <c r="BF64" s="580"/>
      <c r="BG64" s="577">
        <v>10</v>
      </c>
      <c r="BH64" s="580"/>
      <c r="BI64" s="580"/>
      <c r="BJ64" s="580"/>
      <c r="BK64" s="577">
        <v>10</v>
      </c>
      <c r="BL64" s="580"/>
      <c r="BM64" s="577">
        <v>10</v>
      </c>
      <c r="BN64" s="580"/>
      <c r="BO64" s="580"/>
      <c r="BP64" s="580"/>
      <c r="BQ64" s="577">
        <v>10</v>
      </c>
      <c r="BR64" s="580"/>
      <c r="BS64" s="577">
        <v>10</v>
      </c>
      <c r="BT64" s="580"/>
      <c r="BU64" s="580"/>
      <c r="BV64" s="580"/>
      <c r="BW64" s="577">
        <v>10</v>
      </c>
      <c r="BX64" s="580"/>
      <c r="BY64" s="577">
        <v>10</v>
      </c>
      <c r="BZ64" s="580"/>
      <c r="CD64" s="423"/>
      <c r="CE64" s="423"/>
      <c r="CF64" s="423"/>
      <c r="CG64" s="423"/>
      <c r="CH64" s="423"/>
      <c r="CI64" s="423"/>
      <c r="CJ64" s="586"/>
      <c r="CK64" s="586"/>
      <c r="CL64" s="586"/>
      <c r="CM64" s="586"/>
      <c r="CN64" s="586"/>
      <c r="CO64" s="586"/>
      <c r="CP64" s="586"/>
      <c r="CQ64" s="586"/>
      <c r="CR64" s="586"/>
      <c r="CS64" s="586"/>
    </row>
    <row r="65" spans="1:98" s="53" customFormat="1" ht="16.5" customHeight="1">
      <c r="A65" s="26"/>
      <c r="B65" s="26"/>
      <c r="C65" s="278"/>
      <c r="D65" s="608" t="s">
        <v>1880</v>
      </c>
      <c r="E65" s="26"/>
      <c r="F65" s="7"/>
      <c r="H65" s="7"/>
      <c r="I65" s="26"/>
      <c r="J65" s="83"/>
      <c r="K65" s="26"/>
      <c r="L65" s="26"/>
      <c r="M65" s="26"/>
      <c r="N65" s="26"/>
      <c r="O65" s="850">
        <f t="shared" si="50"/>
        <v>1.85</v>
      </c>
      <c r="P65" s="814"/>
      <c r="Q65" s="983"/>
      <c r="R65" s="984"/>
      <c r="S65" s="26"/>
      <c r="T65" s="580"/>
      <c r="U65" s="597">
        <f>100-SUM(U61:U64)</f>
        <v>7</v>
      </c>
      <c r="V65" s="580"/>
      <c r="W65" s="597">
        <f>100-SUM(W61:W64)</f>
        <v>5</v>
      </c>
      <c r="X65" s="580"/>
      <c r="Y65" s="580"/>
      <c r="Z65" s="580"/>
      <c r="AA65" s="597">
        <f>100-SUM(AA61:AA64)</f>
        <v>7.5</v>
      </c>
      <c r="AB65" s="580"/>
      <c r="AC65" s="577">
        <f>100-SUM(AC61:AC64)</f>
        <v>4.5</v>
      </c>
      <c r="AD65" s="580"/>
      <c r="AE65" s="580"/>
      <c r="AF65" s="580"/>
      <c r="AG65" s="597">
        <f>100-SUM(AG61:AG64)</f>
        <v>4</v>
      </c>
      <c r="AH65" s="580"/>
      <c r="AI65" s="597">
        <f>100-SUM(AI61:AI64)</f>
        <v>2</v>
      </c>
      <c r="AJ65" s="580"/>
      <c r="AK65" s="580"/>
      <c r="AL65" s="580"/>
      <c r="AM65" s="597">
        <f>100-SUM(AM61:AM64)</f>
        <v>2</v>
      </c>
      <c r="AN65" s="580"/>
      <c r="AO65" s="577">
        <f>100-SUM(AO61:AO64)</f>
        <v>2</v>
      </c>
      <c r="AP65" s="580"/>
      <c r="AQ65" s="580"/>
      <c r="AR65" s="580"/>
      <c r="AS65" s="597">
        <f>100-SUM(AS61:AS64)</f>
        <v>1</v>
      </c>
      <c r="AT65" s="580"/>
      <c r="AU65" s="597">
        <f>100-SUM(AU61:AU64)</f>
        <v>1</v>
      </c>
      <c r="AV65" s="580"/>
      <c r="AW65" s="580"/>
      <c r="AX65" s="580"/>
      <c r="AY65" s="597">
        <f>100-SUM(AY61:AY64)</f>
        <v>0.5</v>
      </c>
      <c r="AZ65" s="580"/>
      <c r="BA65" s="577">
        <f>100-SUM(BA61:BA64)</f>
        <v>0.5</v>
      </c>
      <c r="BB65" s="580"/>
      <c r="BC65" s="580"/>
      <c r="BD65" s="580"/>
      <c r="BE65" s="597">
        <f>100-SUM(BE61:BE64)</f>
        <v>4</v>
      </c>
      <c r="BF65" s="580"/>
      <c r="BG65" s="597">
        <f>100-SUM(BG61:BG64)</f>
        <v>2</v>
      </c>
      <c r="BH65" s="580"/>
      <c r="BI65" s="580"/>
      <c r="BJ65" s="580"/>
      <c r="BK65" s="597">
        <f>100-SUM(BK61:BK64)</f>
        <v>2.5</v>
      </c>
      <c r="BL65" s="580"/>
      <c r="BM65" s="577">
        <f>100-SUM(BM61:BM64)</f>
        <v>0.5</v>
      </c>
      <c r="BN65" s="580"/>
      <c r="BO65" s="580"/>
      <c r="BP65" s="580"/>
      <c r="BQ65" s="597">
        <f>100-SUM(BQ61:BQ64)</f>
        <v>0.5</v>
      </c>
      <c r="BR65" s="580"/>
      <c r="BS65" s="597">
        <f>100-SUM(BS61:BS64)</f>
        <v>0.5</v>
      </c>
      <c r="BT65" s="580"/>
      <c r="BU65" s="580"/>
      <c r="BV65" s="580"/>
      <c r="BW65" s="597">
        <f>100-SUM(BW61:BW64)</f>
        <v>0.5</v>
      </c>
      <c r="BX65" s="580"/>
      <c r="BY65" s="577">
        <f>100-SUM(BY61:BY64)</f>
        <v>0.5</v>
      </c>
      <c r="BZ65" s="580"/>
      <c r="CD65" s="423"/>
      <c r="CE65" s="423"/>
      <c r="CF65" s="423"/>
      <c r="CG65" s="423"/>
      <c r="CH65" s="423"/>
      <c r="CI65" s="423"/>
      <c r="CJ65" s="586"/>
      <c r="CK65" s="586"/>
      <c r="CL65" s="586"/>
      <c r="CM65" s="586"/>
      <c r="CN65" s="586"/>
      <c r="CO65" s="586"/>
      <c r="CP65" s="586"/>
      <c r="CQ65" s="586"/>
      <c r="CR65" s="586"/>
      <c r="CS65" s="586"/>
    </row>
    <row r="66" spans="1:98" ht="14.25">
      <c r="O66" s="77"/>
      <c r="P66" s="77"/>
      <c r="Q66" s="77"/>
      <c r="R66" s="77"/>
      <c r="S66" s="77"/>
      <c r="T66" s="53"/>
      <c r="U66" s="53"/>
      <c r="V66" s="53"/>
      <c r="W66" s="53"/>
      <c r="X66" s="53"/>
      <c r="Y66" s="53"/>
      <c r="Z66" s="77"/>
      <c r="AA66" s="77"/>
      <c r="AB66" s="77"/>
      <c r="AC66" s="77"/>
      <c r="AD66" s="77"/>
      <c r="AE66" s="77"/>
      <c r="AF66" s="53"/>
      <c r="AG66" s="53"/>
      <c r="AH66" s="53"/>
      <c r="AI66" s="53"/>
      <c r="AJ66" s="53"/>
      <c r="AK66" s="53"/>
      <c r="AL66" s="77"/>
      <c r="AM66" s="77"/>
      <c r="AN66" s="77"/>
      <c r="AO66" s="77"/>
      <c r="AP66" s="77"/>
      <c r="AQ66" s="77"/>
      <c r="AR66" s="53"/>
      <c r="AS66" s="53"/>
      <c r="AT66" s="53"/>
      <c r="AU66" s="53"/>
      <c r="AV66" s="53"/>
      <c r="AW66" s="53"/>
      <c r="AX66" s="77"/>
      <c r="AY66" s="77"/>
      <c r="AZ66" s="77"/>
      <c r="BA66" s="77"/>
      <c r="BB66" s="77"/>
      <c r="BC66" s="77"/>
      <c r="BD66" s="53"/>
      <c r="BE66" s="53"/>
      <c r="BF66" s="53"/>
      <c r="BG66" s="53"/>
      <c r="BH66" s="53"/>
      <c r="BI66" s="53"/>
      <c r="BJ66" s="77"/>
      <c r="BK66" s="77"/>
      <c r="BL66" s="77"/>
      <c r="BM66" s="77"/>
      <c r="BN66" s="77"/>
      <c r="BO66" s="77"/>
      <c r="BP66" s="53"/>
      <c r="BQ66" s="53"/>
      <c r="BR66" s="53"/>
      <c r="BS66" s="53"/>
      <c r="BT66" s="53"/>
      <c r="BU66" s="53"/>
      <c r="BV66" s="77"/>
      <c r="BW66" s="77"/>
    </row>
    <row r="67" spans="1:98" ht="14.25">
      <c r="O67" s="77"/>
      <c r="P67" s="77"/>
      <c r="Q67" s="77"/>
      <c r="R67" s="77"/>
      <c r="S67" s="77"/>
      <c r="T67" s="53"/>
      <c r="U67" s="53"/>
      <c r="V67" s="53"/>
      <c r="W67" s="53"/>
      <c r="X67" s="53"/>
      <c r="Y67" s="53"/>
      <c r="Z67" s="77"/>
      <c r="AA67" s="77"/>
      <c r="AB67" s="77"/>
      <c r="AC67" s="77"/>
      <c r="AD67" s="77"/>
      <c r="AE67" s="77"/>
      <c r="AF67" s="53"/>
      <c r="AG67" s="53"/>
      <c r="AH67" s="53"/>
      <c r="AI67" s="53"/>
      <c r="AJ67" s="53"/>
      <c r="AK67" s="53"/>
      <c r="AL67" s="77"/>
      <c r="AM67" s="77"/>
      <c r="AN67" s="77"/>
      <c r="AO67" s="77"/>
      <c r="AP67" s="77"/>
      <c r="AQ67" s="77"/>
      <c r="AR67" s="53"/>
      <c r="AS67" s="53"/>
      <c r="AT67" s="53"/>
      <c r="AU67" s="53"/>
      <c r="AV67" s="53"/>
      <c r="AW67" s="53"/>
      <c r="AX67" s="77"/>
      <c r="AY67" s="77"/>
      <c r="AZ67" s="77"/>
      <c r="BA67" s="77"/>
      <c r="BB67" s="77"/>
      <c r="BC67" s="77"/>
      <c r="BD67" s="53"/>
      <c r="BE67" s="53"/>
      <c r="BF67" s="53"/>
      <c r="BG67" s="53"/>
      <c r="BH67" s="53"/>
      <c r="BI67" s="53"/>
      <c r="BJ67" s="77"/>
      <c r="BK67" s="77"/>
      <c r="BL67" s="77"/>
      <c r="BM67" s="77"/>
      <c r="BN67" s="77"/>
      <c r="BO67" s="77"/>
      <c r="BP67" s="53"/>
      <c r="BQ67" s="53"/>
      <c r="BR67" s="53"/>
      <c r="BS67" s="53"/>
      <c r="BT67" s="53"/>
      <c r="BU67" s="53"/>
      <c r="BV67" s="77"/>
      <c r="BW67" s="77"/>
    </row>
    <row r="68" spans="1:98" ht="14.25">
      <c r="O68" s="77"/>
      <c r="P68" s="77"/>
      <c r="Q68" s="77"/>
      <c r="R68" s="77"/>
      <c r="S68" s="77"/>
      <c r="T68" s="53"/>
      <c r="U68" s="53"/>
      <c r="V68" s="53"/>
      <c r="W68" s="53"/>
      <c r="X68" s="53"/>
      <c r="Y68" s="53"/>
      <c r="Z68" s="77"/>
      <c r="AA68" s="77"/>
      <c r="AB68" s="77"/>
      <c r="AC68" s="77"/>
      <c r="AD68" s="77"/>
      <c r="AE68" s="77"/>
      <c r="AF68" s="53"/>
      <c r="AG68" s="53"/>
      <c r="AH68" s="53"/>
      <c r="AI68" s="53"/>
      <c r="AJ68" s="53"/>
      <c r="AK68" s="53"/>
      <c r="AL68" s="77"/>
      <c r="AM68" s="77"/>
      <c r="AN68" s="77"/>
      <c r="AO68" s="77"/>
      <c r="AP68" s="77"/>
      <c r="AQ68" s="77"/>
      <c r="AR68" s="53"/>
      <c r="AS68" s="53"/>
      <c r="AT68" s="53"/>
      <c r="AU68" s="53"/>
      <c r="AV68" s="53"/>
      <c r="AW68" s="53"/>
      <c r="AX68" s="77"/>
      <c r="AY68" s="77"/>
      <c r="AZ68" s="77"/>
      <c r="BA68" s="77"/>
      <c r="BB68" s="77"/>
      <c r="BC68" s="77"/>
      <c r="BD68" s="53"/>
      <c r="BE68" s="53"/>
      <c r="BF68" s="53"/>
      <c r="BG68" s="53"/>
      <c r="BH68" s="53"/>
      <c r="BI68" s="53"/>
      <c r="BJ68" s="77"/>
      <c r="BK68" s="77"/>
      <c r="BL68" s="77"/>
      <c r="BM68" s="77"/>
      <c r="BN68" s="77"/>
      <c r="BO68" s="77"/>
      <c r="BP68" s="53"/>
      <c r="BQ68" s="53"/>
      <c r="BR68" s="53"/>
      <c r="BS68" s="53"/>
      <c r="BT68" s="53"/>
      <c r="BU68" s="53"/>
      <c r="BV68" s="77"/>
      <c r="BW68" s="77"/>
    </row>
    <row r="69" spans="1:98" s="53" customFormat="1" ht="16.5" customHeight="1">
      <c r="A69" s="24"/>
      <c r="B69" s="24"/>
      <c r="C69" s="278"/>
      <c r="D69" s="880" t="s">
        <v>1960</v>
      </c>
      <c r="E69" s="24"/>
      <c r="F69" s="24"/>
      <c r="G69" s="94"/>
      <c r="H69" s="24"/>
      <c r="I69" s="26"/>
      <c r="J69" s="83"/>
      <c r="K69" s="26"/>
      <c r="L69" s="26"/>
      <c r="M69" s="26"/>
      <c r="N69" s="26"/>
      <c r="CB69" s="77"/>
      <c r="CC69" s="77"/>
      <c r="CD69" s="423"/>
      <c r="CE69" s="423"/>
      <c r="CF69" s="423"/>
      <c r="CG69" s="423"/>
      <c r="CH69" s="423"/>
      <c r="CI69" s="423"/>
      <c r="CJ69" s="586"/>
      <c r="CK69" s="586"/>
      <c r="CL69" s="586"/>
      <c r="CM69" s="586"/>
      <c r="CN69" s="586"/>
      <c r="CO69" s="586"/>
      <c r="CP69" s="586"/>
      <c r="CQ69" s="586"/>
      <c r="CR69" s="586"/>
      <c r="CS69" s="586"/>
      <c r="CT69" s="77"/>
    </row>
    <row r="70" spans="1:98" s="53" customFormat="1" ht="16.5" customHeight="1">
      <c r="A70" s="24"/>
      <c r="B70" s="24"/>
      <c r="C70" s="278"/>
      <c r="D70" s="893" t="s">
        <v>2008</v>
      </c>
      <c r="E70" s="24"/>
      <c r="F70" s="24"/>
      <c r="G70" s="94"/>
      <c r="H70" s="24"/>
      <c r="I70" s="26"/>
      <c r="J70" s="83"/>
      <c r="K70" s="26"/>
      <c r="L70" s="26"/>
      <c r="M70" s="26"/>
      <c r="N70" s="26"/>
      <c r="CB70" s="77"/>
      <c r="CC70" s="77"/>
      <c r="CD70" s="423"/>
      <c r="CE70" s="423"/>
      <c r="CF70" s="423"/>
      <c r="CG70" s="423"/>
      <c r="CH70" s="423"/>
      <c r="CI70" s="423"/>
      <c r="CJ70" s="586"/>
      <c r="CK70" s="586"/>
      <c r="CL70" s="586"/>
      <c r="CM70" s="586"/>
      <c r="CN70" s="586"/>
      <c r="CO70" s="586"/>
      <c r="CP70" s="586"/>
      <c r="CQ70" s="586"/>
      <c r="CR70" s="586"/>
      <c r="CS70" s="586"/>
      <c r="CT70" s="77"/>
    </row>
    <row r="71" spans="1:98" ht="14.25">
      <c r="O71" s="77"/>
      <c r="P71" s="77"/>
      <c r="Q71" s="77"/>
      <c r="R71" s="77"/>
      <c r="S71" s="77"/>
      <c r="T71" s="53"/>
      <c r="U71" s="53"/>
      <c r="V71" s="53"/>
      <c r="W71" s="53"/>
      <c r="X71" s="53"/>
      <c r="Y71" s="53"/>
      <c r="Z71" s="77"/>
      <c r="AA71" s="77"/>
      <c r="AB71" s="77"/>
      <c r="AC71" s="77"/>
      <c r="AD71" s="77"/>
      <c r="AE71" s="77"/>
      <c r="AF71" s="53"/>
      <c r="AG71" s="53"/>
      <c r="AH71" s="53"/>
      <c r="AI71" s="53"/>
      <c r="AJ71" s="53"/>
      <c r="AK71" s="53"/>
      <c r="AL71" s="77"/>
      <c r="AM71" s="77"/>
      <c r="AN71" s="77"/>
      <c r="AO71" s="77"/>
      <c r="AP71" s="77"/>
      <c r="AQ71" s="77"/>
      <c r="AR71" s="53"/>
      <c r="AS71" s="53"/>
      <c r="AT71" s="53"/>
      <c r="AU71" s="53"/>
      <c r="AV71" s="53"/>
      <c r="AW71" s="53"/>
      <c r="AX71" s="77"/>
      <c r="AY71" s="77"/>
      <c r="AZ71" s="77"/>
      <c r="BA71" s="77"/>
      <c r="BB71" s="77"/>
      <c r="BC71" s="77"/>
      <c r="BD71" s="53"/>
      <c r="BE71" s="53"/>
      <c r="BF71" s="53"/>
      <c r="BG71" s="53"/>
      <c r="BH71" s="53"/>
      <c r="BI71" s="53"/>
      <c r="BJ71" s="77"/>
      <c r="BK71" s="77"/>
      <c r="BL71" s="77"/>
      <c r="BM71" s="77"/>
      <c r="BN71" s="77"/>
      <c r="BO71" s="77"/>
      <c r="BP71" s="53"/>
      <c r="BQ71" s="53"/>
      <c r="BR71" s="53"/>
      <c r="BS71" s="53"/>
      <c r="BT71" s="53"/>
      <c r="BU71" s="53"/>
      <c r="BV71" s="77"/>
      <c r="BW71" s="77"/>
    </row>
    <row r="72" spans="1:98" ht="14.25">
      <c r="O72" s="53"/>
      <c r="P72" s="77"/>
      <c r="Q72" s="77"/>
      <c r="R72" s="77"/>
      <c r="S72" s="77"/>
      <c r="T72" s="53"/>
      <c r="U72" s="53"/>
      <c r="V72" s="53"/>
      <c r="W72" s="53"/>
      <c r="X72" s="53"/>
      <c r="Y72" s="53"/>
      <c r="Z72" s="77"/>
      <c r="AA72" s="77"/>
      <c r="AB72" s="77"/>
      <c r="AC72" s="77"/>
      <c r="AD72" s="77"/>
      <c r="AE72" s="77"/>
      <c r="AF72" s="53"/>
      <c r="AG72" s="53"/>
      <c r="AH72" s="53"/>
      <c r="AI72" s="53"/>
      <c r="AJ72" s="53"/>
      <c r="AK72" s="53"/>
      <c r="AL72" s="77"/>
      <c r="AM72" s="77"/>
      <c r="AN72" s="77"/>
      <c r="AO72" s="77"/>
      <c r="AP72" s="77"/>
      <c r="AQ72" s="77"/>
      <c r="AR72" s="53"/>
      <c r="AS72" s="53"/>
      <c r="AT72" s="53"/>
      <c r="AU72" s="53"/>
      <c r="AV72" s="53"/>
      <c r="AW72" s="53"/>
      <c r="AX72" s="77"/>
      <c r="AY72" s="77"/>
      <c r="AZ72" s="77"/>
      <c r="BA72" s="77"/>
      <c r="BB72" s="77"/>
      <c r="BC72" s="77"/>
      <c r="BD72" s="53"/>
      <c r="BE72" s="53"/>
      <c r="BF72" s="53"/>
      <c r="BG72" s="53"/>
      <c r="BH72" s="53"/>
      <c r="BI72" s="53"/>
      <c r="BJ72" s="77"/>
      <c r="BK72" s="77"/>
      <c r="BL72" s="77"/>
      <c r="BM72" s="77"/>
      <c r="BN72" s="77"/>
      <c r="BO72" s="77"/>
      <c r="BP72" s="53"/>
      <c r="BQ72" s="53"/>
      <c r="BR72" s="53"/>
      <c r="BS72" s="53"/>
      <c r="BT72" s="53"/>
      <c r="BU72" s="53"/>
      <c r="BV72" s="77"/>
      <c r="BW72" s="77"/>
    </row>
    <row r="73" spans="1:98" ht="14.25">
      <c r="O73" s="77"/>
      <c r="P73" s="77"/>
      <c r="Q73" s="77"/>
      <c r="R73" s="77"/>
      <c r="S73" s="77"/>
      <c r="T73" s="53"/>
      <c r="U73" s="53"/>
      <c r="V73" s="53"/>
      <c r="W73" s="53"/>
      <c r="X73" s="53"/>
      <c r="Y73" s="53"/>
      <c r="Z73" s="77"/>
      <c r="AA73" s="77"/>
      <c r="AB73" s="77"/>
      <c r="AC73" s="77"/>
      <c r="AD73" s="77"/>
      <c r="AE73" s="77"/>
      <c r="AF73" s="53"/>
      <c r="AG73" s="53"/>
      <c r="AH73" s="53"/>
      <c r="AI73" s="53"/>
      <c r="AJ73" s="53"/>
      <c r="AK73" s="53"/>
      <c r="AL73" s="77"/>
      <c r="AM73" s="77"/>
      <c r="AN73" s="77"/>
      <c r="AO73" s="77"/>
      <c r="AP73" s="77"/>
      <c r="AQ73" s="77"/>
      <c r="AR73" s="53"/>
      <c r="AS73" s="53"/>
      <c r="AT73" s="53"/>
      <c r="AU73" s="53"/>
      <c r="AV73" s="53"/>
      <c r="AW73" s="53"/>
      <c r="AX73" s="77"/>
      <c r="AY73" s="77"/>
      <c r="AZ73" s="77"/>
      <c r="BA73" s="77"/>
      <c r="BB73" s="77"/>
      <c r="BC73" s="77"/>
      <c r="BD73" s="53"/>
      <c r="BE73" s="53"/>
      <c r="BF73" s="53"/>
      <c r="BG73" s="53"/>
      <c r="BH73" s="53"/>
      <c r="BI73" s="53"/>
      <c r="BJ73" s="77"/>
      <c r="BK73" s="77"/>
      <c r="BL73" s="77"/>
      <c r="BM73" s="77"/>
      <c r="BN73" s="77"/>
      <c r="BO73" s="77"/>
      <c r="BP73" s="53"/>
      <c r="BQ73" s="53"/>
      <c r="BR73" s="53"/>
      <c r="BS73" s="53"/>
      <c r="BT73" s="53"/>
      <c r="BU73" s="53"/>
      <c r="BV73" s="77"/>
      <c r="BW73" s="77"/>
    </row>
    <row r="74" spans="1:98" ht="14.25">
      <c r="O74" s="77"/>
      <c r="P74" s="77"/>
      <c r="Q74" s="77"/>
      <c r="R74" s="77"/>
      <c r="S74" s="77"/>
      <c r="T74" s="53"/>
      <c r="U74" s="53"/>
      <c r="V74" s="53"/>
      <c r="W74" s="53"/>
      <c r="X74" s="53"/>
      <c r="Y74" s="53"/>
      <c r="Z74" s="77"/>
      <c r="AA74" s="77"/>
      <c r="AB74" s="77"/>
      <c r="AC74" s="77"/>
      <c r="AD74" s="77"/>
      <c r="AE74" s="77"/>
      <c r="AF74" s="53"/>
      <c r="AG74" s="53"/>
      <c r="AH74" s="53"/>
      <c r="AI74" s="53"/>
      <c r="AJ74" s="53"/>
      <c r="AK74" s="53"/>
      <c r="AL74" s="77"/>
      <c r="AM74" s="77"/>
      <c r="AN74" s="77"/>
      <c r="AO74" s="77"/>
      <c r="AP74" s="77"/>
      <c r="AQ74" s="77"/>
      <c r="AR74" s="53"/>
      <c r="AS74" s="53"/>
      <c r="AT74" s="53"/>
      <c r="AU74" s="53"/>
      <c r="AV74" s="53"/>
      <c r="AW74" s="53"/>
      <c r="AX74" s="77"/>
      <c r="AY74" s="77"/>
      <c r="AZ74" s="77"/>
      <c r="BA74" s="77"/>
      <c r="BB74" s="77"/>
      <c r="BC74" s="77"/>
      <c r="BD74" s="53"/>
      <c r="BE74" s="53"/>
      <c r="BF74" s="53"/>
      <c r="BG74" s="53"/>
      <c r="BH74" s="53"/>
      <c r="BI74" s="53"/>
      <c r="BJ74" s="77"/>
      <c r="BK74" s="77"/>
      <c r="BL74" s="77"/>
      <c r="BM74" s="77"/>
      <c r="BN74" s="77"/>
      <c r="BO74" s="77"/>
      <c r="BP74" s="53"/>
      <c r="BQ74" s="53"/>
      <c r="BR74" s="53"/>
      <c r="BS74" s="53"/>
      <c r="BT74" s="53"/>
      <c r="BU74" s="53"/>
      <c r="BV74" s="77"/>
      <c r="BW74" s="77"/>
    </row>
    <row r="75" spans="1:98" ht="14.25">
      <c r="O75" s="77"/>
      <c r="P75" s="77"/>
      <c r="Q75" s="77"/>
      <c r="R75" s="77"/>
      <c r="S75" s="77"/>
      <c r="T75" s="53"/>
      <c r="U75" s="53"/>
      <c r="V75" s="53"/>
      <c r="W75" s="53"/>
      <c r="X75" s="53"/>
      <c r="Y75" s="53"/>
      <c r="Z75" s="77"/>
      <c r="AA75" s="77"/>
      <c r="AB75" s="77"/>
      <c r="AC75" s="77"/>
      <c r="AD75" s="77"/>
      <c r="AE75" s="77"/>
      <c r="AF75" s="53"/>
      <c r="AG75" s="53"/>
      <c r="AH75" s="53"/>
      <c r="AI75" s="53"/>
      <c r="AJ75" s="53"/>
      <c r="AK75" s="53"/>
      <c r="AL75" s="77"/>
      <c r="AM75" s="77"/>
      <c r="AN75" s="77"/>
      <c r="AO75" s="77"/>
      <c r="AP75" s="77"/>
      <c r="AQ75" s="77"/>
      <c r="AR75" s="53"/>
      <c r="AS75" s="53"/>
      <c r="AT75" s="53"/>
      <c r="AU75" s="53"/>
      <c r="AV75" s="53"/>
      <c r="AW75" s="53"/>
      <c r="AX75" s="77"/>
      <c r="AY75" s="77"/>
      <c r="AZ75" s="77"/>
      <c r="BA75" s="77"/>
      <c r="BB75" s="77"/>
      <c r="BC75" s="77"/>
      <c r="BD75" s="53"/>
      <c r="BE75" s="53"/>
      <c r="BF75" s="53"/>
      <c r="BG75" s="53"/>
      <c r="BH75" s="53"/>
      <c r="BI75" s="53"/>
      <c r="BJ75" s="77"/>
      <c r="BK75" s="77"/>
      <c r="BL75" s="77"/>
      <c r="BM75" s="77"/>
      <c r="BN75" s="77"/>
      <c r="BO75" s="77"/>
      <c r="BP75" s="53"/>
      <c r="BQ75" s="53"/>
      <c r="BR75" s="53"/>
      <c r="BS75" s="53"/>
      <c r="BT75" s="53"/>
      <c r="BU75" s="53"/>
      <c r="BV75" s="77"/>
      <c r="BW75" s="77"/>
    </row>
    <row r="76" spans="1:98" ht="14.25">
      <c r="O76" s="77"/>
      <c r="P76" s="77"/>
      <c r="Q76" s="77"/>
      <c r="R76" s="77"/>
      <c r="S76" s="77"/>
      <c r="T76" s="53"/>
      <c r="U76" s="53"/>
      <c r="V76" s="53"/>
      <c r="W76" s="53"/>
      <c r="X76" s="53"/>
      <c r="Y76" s="53"/>
      <c r="Z76" s="77"/>
      <c r="AA76" s="77"/>
      <c r="AB76" s="77"/>
      <c r="AC76" s="77"/>
      <c r="AD76" s="77"/>
      <c r="AE76" s="77"/>
      <c r="AF76" s="53"/>
      <c r="AG76" s="53"/>
      <c r="AH76" s="53"/>
      <c r="AI76" s="53"/>
      <c r="AJ76" s="53"/>
      <c r="AK76" s="53"/>
      <c r="AL76" s="77"/>
      <c r="AM76" s="77"/>
      <c r="AN76" s="77"/>
      <c r="AO76" s="77"/>
      <c r="AP76" s="77"/>
      <c r="AQ76" s="77"/>
      <c r="AR76" s="53"/>
      <c r="AS76" s="53"/>
      <c r="AT76" s="53"/>
      <c r="AU76" s="53"/>
      <c r="AV76" s="53"/>
      <c r="AW76" s="53"/>
      <c r="AX76" s="77"/>
      <c r="AY76" s="77"/>
      <c r="AZ76" s="77"/>
      <c r="BA76" s="77"/>
      <c r="BB76" s="77"/>
      <c r="BC76" s="77"/>
      <c r="BD76" s="53"/>
      <c r="BE76" s="53"/>
      <c r="BF76" s="53"/>
      <c r="BG76" s="53"/>
      <c r="BH76" s="53"/>
      <c r="BI76" s="53"/>
      <c r="BJ76" s="77"/>
      <c r="BK76" s="77"/>
      <c r="BL76" s="77"/>
      <c r="BM76" s="77"/>
      <c r="BN76" s="77"/>
      <c r="BO76" s="77"/>
      <c r="BP76" s="53"/>
      <c r="BQ76" s="53"/>
      <c r="BR76" s="53"/>
      <c r="BS76" s="53"/>
      <c r="BT76" s="53"/>
      <c r="BU76" s="53"/>
      <c r="BV76" s="77"/>
      <c r="BW76" s="77"/>
    </row>
    <row r="77" spans="1:98" ht="14.25">
      <c r="O77" s="77"/>
      <c r="P77" s="77"/>
      <c r="Q77" s="77"/>
      <c r="R77" s="77"/>
      <c r="S77" s="77"/>
      <c r="T77" s="53"/>
      <c r="U77" s="53"/>
      <c r="V77" s="53"/>
      <c r="W77" s="53"/>
      <c r="X77" s="53"/>
      <c r="Y77" s="53"/>
      <c r="Z77" s="77"/>
      <c r="AA77" s="77"/>
      <c r="AB77" s="77"/>
      <c r="AC77" s="77"/>
      <c r="AD77" s="77"/>
      <c r="AE77" s="77"/>
      <c r="AF77" s="53"/>
      <c r="AG77" s="53"/>
      <c r="AH77" s="53"/>
      <c r="AI77" s="53"/>
      <c r="AJ77" s="53"/>
      <c r="AK77" s="53"/>
      <c r="AL77" s="77"/>
      <c r="AM77" s="77"/>
      <c r="AN77" s="77"/>
      <c r="AO77" s="77"/>
      <c r="AP77" s="77"/>
      <c r="AQ77" s="77"/>
      <c r="AR77" s="53"/>
      <c r="AS77" s="53"/>
      <c r="AT77" s="53"/>
      <c r="AU77" s="53"/>
      <c r="AV77" s="53"/>
      <c r="AW77" s="53"/>
      <c r="AX77" s="77"/>
      <c r="AY77" s="77"/>
      <c r="AZ77" s="77"/>
      <c r="BA77" s="77"/>
      <c r="BB77" s="77"/>
      <c r="BC77" s="77"/>
      <c r="BD77" s="53"/>
      <c r="BE77" s="53"/>
      <c r="BF77" s="53"/>
      <c r="BG77" s="53"/>
      <c r="BH77" s="53"/>
      <c r="BI77" s="53"/>
      <c r="BJ77" s="77"/>
      <c r="BK77" s="77"/>
      <c r="BL77" s="77"/>
      <c r="BM77" s="77"/>
      <c r="BN77" s="77"/>
      <c r="BO77" s="77"/>
      <c r="BP77" s="53"/>
      <c r="BQ77" s="53"/>
      <c r="BR77" s="53"/>
      <c r="BS77" s="53"/>
      <c r="BT77" s="53"/>
      <c r="BU77" s="53"/>
      <c r="BV77" s="77"/>
      <c r="BW77" s="77"/>
    </row>
    <row r="78" spans="1:98" ht="14.25">
      <c r="O78" s="77"/>
      <c r="P78" s="77"/>
      <c r="Q78" s="77"/>
      <c r="R78" s="77"/>
      <c r="S78" s="77"/>
      <c r="T78" s="53"/>
      <c r="U78" s="53"/>
      <c r="V78" s="53"/>
      <c r="W78" s="53"/>
      <c r="X78" s="53"/>
      <c r="Y78" s="53"/>
      <c r="Z78" s="77"/>
      <c r="AA78" s="77"/>
      <c r="AB78" s="77"/>
      <c r="AC78" s="77"/>
      <c r="AD78" s="77"/>
      <c r="AE78" s="77"/>
      <c r="AF78" s="53"/>
      <c r="AG78" s="53"/>
      <c r="AH78" s="53"/>
      <c r="AI78" s="53"/>
      <c r="AJ78" s="53"/>
      <c r="AK78" s="53"/>
      <c r="AL78" s="77"/>
      <c r="AM78" s="77"/>
      <c r="AN78" s="77"/>
      <c r="AO78" s="77"/>
      <c r="AP78" s="77"/>
      <c r="AQ78" s="77"/>
      <c r="AR78" s="53"/>
      <c r="AS78" s="53"/>
      <c r="AT78" s="53"/>
      <c r="AU78" s="53"/>
      <c r="AV78" s="53"/>
      <c r="AW78" s="53"/>
      <c r="AX78" s="77"/>
      <c r="AY78" s="77"/>
      <c r="AZ78" s="77"/>
      <c r="BA78" s="77"/>
      <c r="BB78" s="77"/>
      <c r="BC78" s="77"/>
      <c r="BD78" s="53"/>
      <c r="BE78" s="53"/>
      <c r="BF78" s="53"/>
      <c r="BG78" s="53"/>
      <c r="BH78" s="53"/>
      <c r="BI78" s="53"/>
      <c r="BJ78" s="77"/>
      <c r="BK78" s="77"/>
      <c r="BL78" s="77"/>
      <c r="BM78" s="77"/>
      <c r="BN78" s="77"/>
      <c r="BO78" s="77"/>
      <c r="BP78" s="53"/>
      <c r="BQ78" s="53"/>
      <c r="BR78" s="53"/>
      <c r="BS78" s="53"/>
      <c r="BT78" s="53"/>
      <c r="BU78" s="53"/>
      <c r="BV78" s="77"/>
      <c r="BW78" s="77"/>
    </row>
    <row r="79" spans="1:98" ht="14.25">
      <c r="O79" s="77"/>
      <c r="P79" s="77"/>
      <c r="Q79" s="77"/>
      <c r="R79" s="77"/>
      <c r="S79" s="77"/>
      <c r="T79" s="53"/>
      <c r="U79" s="53"/>
      <c r="V79" s="53"/>
      <c r="W79" s="53"/>
      <c r="X79" s="53"/>
      <c r="Y79" s="53"/>
      <c r="Z79" s="77"/>
      <c r="AA79" s="77"/>
      <c r="AB79" s="77"/>
      <c r="AC79" s="77"/>
      <c r="AD79" s="77"/>
      <c r="AE79" s="77"/>
      <c r="AF79" s="53"/>
      <c r="AG79" s="53"/>
      <c r="AH79" s="53"/>
      <c r="AI79" s="53"/>
      <c r="AJ79" s="53"/>
      <c r="AK79" s="53"/>
      <c r="AL79" s="77"/>
      <c r="AM79" s="77"/>
      <c r="AN79" s="77"/>
      <c r="AO79" s="77"/>
      <c r="AP79" s="77"/>
      <c r="AQ79" s="77"/>
      <c r="AR79" s="53"/>
      <c r="AS79" s="53"/>
      <c r="AT79" s="53"/>
      <c r="AU79" s="53"/>
      <c r="AV79" s="53"/>
      <c r="AW79" s="53"/>
      <c r="AX79" s="77"/>
      <c r="AY79" s="77"/>
      <c r="AZ79" s="77"/>
      <c r="BA79" s="77"/>
      <c r="BB79" s="77"/>
      <c r="BC79" s="77"/>
      <c r="BD79" s="53"/>
      <c r="BE79" s="53"/>
      <c r="BF79" s="53"/>
      <c r="BG79" s="53"/>
      <c r="BH79" s="53"/>
      <c r="BI79" s="53"/>
      <c r="BJ79" s="77"/>
      <c r="BK79" s="77"/>
      <c r="BL79" s="77"/>
      <c r="BM79" s="77"/>
      <c r="BN79" s="77"/>
      <c r="BO79" s="77"/>
      <c r="BP79" s="53"/>
      <c r="BQ79" s="53"/>
      <c r="BR79" s="53"/>
      <c r="BS79" s="53"/>
      <c r="BT79" s="53"/>
      <c r="BU79" s="53"/>
      <c r="BV79" s="77"/>
      <c r="BW79" s="77"/>
    </row>
    <row r="80" spans="1:98" ht="14.25">
      <c r="O80" s="77"/>
      <c r="P80" s="77"/>
      <c r="Q80" s="77"/>
      <c r="R80" s="77"/>
      <c r="S80" s="77"/>
      <c r="T80" s="53"/>
      <c r="U80" s="53"/>
      <c r="V80" s="53"/>
      <c r="W80" s="53"/>
      <c r="X80" s="53"/>
      <c r="Y80" s="53"/>
      <c r="Z80" s="77"/>
      <c r="AA80" s="77"/>
      <c r="AB80" s="77"/>
      <c r="AC80" s="77"/>
      <c r="AD80" s="77"/>
      <c r="AE80" s="77"/>
      <c r="AF80" s="53"/>
      <c r="AG80" s="53"/>
      <c r="AH80" s="53"/>
      <c r="AI80" s="53"/>
      <c r="AJ80" s="53"/>
      <c r="AK80" s="53"/>
      <c r="AL80" s="77"/>
      <c r="AM80" s="77"/>
      <c r="AN80" s="77"/>
      <c r="AO80" s="77"/>
      <c r="AP80" s="77"/>
      <c r="AQ80" s="77"/>
      <c r="AR80" s="53"/>
      <c r="AS80" s="53"/>
      <c r="AT80" s="53"/>
      <c r="AU80" s="53"/>
      <c r="AV80" s="53"/>
      <c r="AW80" s="53"/>
      <c r="AX80" s="77"/>
      <c r="AY80" s="77"/>
      <c r="AZ80" s="77"/>
      <c r="BA80" s="77"/>
      <c r="BB80" s="77"/>
      <c r="BC80" s="77"/>
      <c r="BD80" s="53"/>
      <c r="BE80" s="53"/>
      <c r="BF80" s="53"/>
      <c r="BG80" s="53"/>
      <c r="BH80" s="53"/>
      <c r="BI80" s="53"/>
      <c r="BJ80" s="77"/>
      <c r="BK80" s="77"/>
      <c r="BL80" s="77"/>
      <c r="BM80" s="77"/>
      <c r="BN80" s="77"/>
      <c r="BO80" s="77"/>
      <c r="BP80" s="53"/>
      <c r="BQ80" s="53"/>
      <c r="BR80" s="53"/>
      <c r="BS80" s="53"/>
      <c r="BT80" s="53"/>
      <c r="BU80" s="53"/>
      <c r="BV80" s="77"/>
      <c r="BW80" s="77"/>
    </row>
    <row r="81" spans="15:75" ht="14.25">
      <c r="O81" s="77"/>
      <c r="P81" s="77"/>
      <c r="Q81" s="77"/>
      <c r="R81" s="77"/>
      <c r="S81" s="77"/>
      <c r="T81" s="53"/>
      <c r="U81" s="53"/>
      <c r="V81" s="53"/>
      <c r="W81" s="53"/>
      <c r="X81" s="53"/>
      <c r="Y81" s="53"/>
      <c r="Z81" s="77"/>
      <c r="AA81" s="77"/>
      <c r="AB81" s="77"/>
      <c r="AC81" s="77"/>
      <c r="AD81" s="77"/>
      <c r="AE81" s="77"/>
      <c r="AF81" s="53"/>
      <c r="AG81" s="53"/>
      <c r="AH81" s="53"/>
      <c r="AI81" s="53"/>
      <c r="AJ81" s="53"/>
      <c r="AK81" s="53"/>
      <c r="AL81" s="77"/>
      <c r="AM81" s="77"/>
      <c r="AN81" s="77"/>
      <c r="AO81" s="77"/>
      <c r="AP81" s="77"/>
      <c r="AQ81" s="77"/>
      <c r="AR81" s="53"/>
      <c r="AS81" s="53"/>
      <c r="AT81" s="53"/>
      <c r="AU81" s="53"/>
      <c r="AV81" s="53"/>
      <c r="AW81" s="53"/>
      <c r="AX81" s="77"/>
      <c r="AY81" s="77"/>
      <c r="AZ81" s="77"/>
      <c r="BA81" s="77"/>
      <c r="BB81" s="77"/>
      <c r="BC81" s="77"/>
      <c r="BD81" s="53"/>
      <c r="BE81" s="53"/>
      <c r="BF81" s="53"/>
      <c r="BG81" s="53"/>
      <c r="BH81" s="53"/>
      <c r="BI81" s="53"/>
      <c r="BJ81" s="77"/>
      <c r="BK81" s="77"/>
      <c r="BL81" s="77"/>
      <c r="BM81" s="77"/>
      <c r="BN81" s="77"/>
      <c r="BO81" s="77"/>
      <c r="BP81" s="53"/>
      <c r="BQ81" s="53"/>
      <c r="BR81" s="53"/>
      <c r="BS81" s="53"/>
      <c r="BT81" s="53"/>
      <c r="BU81" s="53"/>
      <c r="BV81" s="77"/>
      <c r="BW81" s="77"/>
    </row>
    <row r="82" spans="15:75" ht="14.25">
      <c r="O82" s="77"/>
      <c r="P82" s="77"/>
      <c r="Q82" s="77"/>
      <c r="R82" s="77"/>
      <c r="S82" s="77"/>
      <c r="T82" s="53"/>
      <c r="U82" s="53"/>
      <c r="V82" s="53"/>
      <c r="W82" s="53"/>
      <c r="X82" s="53"/>
      <c r="Y82" s="53"/>
      <c r="Z82" s="77"/>
      <c r="AA82" s="77"/>
      <c r="AB82" s="77"/>
      <c r="AC82" s="77"/>
      <c r="AD82" s="77"/>
      <c r="AE82" s="77"/>
      <c r="AF82" s="53"/>
      <c r="AG82" s="53"/>
      <c r="AH82" s="53"/>
      <c r="AI82" s="53"/>
      <c r="AJ82" s="53"/>
      <c r="AK82" s="53"/>
      <c r="AL82" s="77"/>
      <c r="AM82" s="77"/>
      <c r="AN82" s="77"/>
      <c r="AO82" s="77"/>
      <c r="AP82" s="77"/>
      <c r="AQ82" s="77"/>
      <c r="AR82" s="53"/>
      <c r="AS82" s="53"/>
      <c r="AT82" s="53"/>
      <c r="AU82" s="53"/>
      <c r="AV82" s="53"/>
      <c r="AW82" s="53"/>
      <c r="AX82" s="77"/>
      <c r="AY82" s="77"/>
      <c r="AZ82" s="77"/>
      <c r="BA82" s="77"/>
      <c r="BB82" s="77"/>
      <c r="BC82" s="77"/>
      <c r="BD82" s="53"/>
      <c r="BE82" s="53"/>
      <c r="BF82" s="53"/>
      <c r="BG82" s="53"/>
      <c r="BH82" s="53"/>
      <c r="BI82" s="53"/>
      <c r="BJ82" s="77"/>
      <c r="BK82" s="77"/>
      <c r="BL82" s="77"/>
      <c r="BM82" s="77"/>
      <c r="BN82" s="77"/>
      <c r="BO82" s="77"/>
      <c r="BP82" s="53"/>
      <c r="BQ82" s="53"/>
      <c r="BR82" s="53"/>
      <c r="BS82" s="53"/>
      <c r="BT82" s="53"/>
      <c r="BU82" s="53"/>
      <c r="BV82" s="77"/>
      <c r="BW82" s="77"/>
    </row>
    <row r="83" spans="15:75" ht="14.25">
      <c r="O83" s="77"/>
      <c r="P83" s="77"/>
      <c r="Q83" s="77"/>
      <c r="R83" s="77"/>
      <c r="S83" s="77"/>
      <c r="T83" s="53"/>
      <c r="U83" s="53"/>
      <c r="V83" s="53"/>
      <c r="W83" s="53"/>
      <c r="X83" s="53"/>
      <c r="Y83" s="53"/>
      <c r="Z83" s="77"/>
      <c r="AA83" s="77"/>
      <c r="AB83" s="77"/>
      <c r="AC83" s="77"/>
      <c r="AD83" s="77"/>
      <c r="AE83" s="77"/>
      <c r="AF83" s="53"/>
      <c r="AG83" s="53"/>
      <c r="AH83" s="53"/>
      <c r="AI83" s="53"/>
      <c r="AJ83" s="53"/>
      <c r="AK83" s="53"/>
      <c r="AL83" s="77"/>
      <c r="AM83" s="77"/>
      <c r="AN83" s="77"/>
      <c r="AO83" s="77"/>
      <c r="AP83" s="77"/>
      <c r="AQ83" s="77"/>
      <c r="AR83" s="53"/>
      <c r="AS83" s="53"/>
      <c r="AT83" s="53"/>
      <c r="AU83" s="53"/>
      <c r="AV83" s="53"/>
      <c r="AW83" s="53"/>
      <c r="AX83" s="77"/>
      <c r="AY83" s="77"/>
      <c r="AZ83" s="77"/>
      <c r="BA83" s="77"/>
      <c r="BB83" s="77"/>
      <c r="BC83" s="77"/>
      <c r="BD83" s="53"/>
      <c r="BE83" s="53"/>
      <c r="BF83" s="53"/>
      <c r="BG83" s="53"/>
      <c r="BH83" s="53"/>
      <c r="BI83" s="53"/>
      <c r="BJ83" s="77"/>
      <c r="BK83" s="77"/>
      <c r="BL83" s="77"/>
      <c r="BM83" s="77"/>
      <c r="BN83" s="77"/>
      <c r="BO83" s="77"/>
      <c r="BP83" s="53"/>
      <c r="BQ83" s="53"/>
      <c r="BR83" s="53"/>
      <c r="BS83" s="53"/>
      <c r="BT83" s="53"/>
      <c r="BU83" s="53"/>
      <c r="BV83" s="77"/>
      <c r="BW83" s="77"/>
    </row>
    <row r="84" spans="15:75" ht="14.25">
      <c r="O84" s="77"/>
      <c r="P84" s="77"/>
      <c r="Q84" s="77"/>
      <c r="R84" s="77"/>
      <c r="S84" s="77"/>
      <c r="T84" s="53"/>
      <c r="U84" s="53"/>
      <c r="V84" s="53"/>
      <c r="W84" s="53"/>
      <c r="X84" s="53"/>
      <c r="Y84" s="53"/>
      <c r="Z84" s="77"/>
      <c r="AA84" s="77"/>
      <c r="AB84" s="77"/>
      <c r="AC84" s="77"/>
      <c r="AD84" s="77"/>
      <c r="AE84" s="77"/>
      <c r="AF84" s="53"/>
      <c r="AG84" s="53"/>
      <c r="AH84" s="53"/>
      <c r="AI84" s="53"/>
      <c r="AJ84" s="53"/>
      <c r="AK84" s="53"/>
      <c r="AL84" s="77"/>
      <c r="AM84" s="77"/>
      <c r="AN84" s="77"/>
      <c r="AO84" s="77"/>
      <c r="AP84" s="77"/>
      <c r="AQ84" s="77"/>
      <c r="AR84" s="53"/>
      <c r="AS84" s="53"/>
      <c r="AT84" s="53"/>
      <c r="AU84" s="53"/>
      <c r="AV84" s="53"/>
      <c r="AW84" s="53"/>
      <c r="AX84" s="77"/>
      <c r="AY84" s="77"/>
      <c r="AZ84" s="77"/>
      <c r="BA84" s="77"/>
      <c r="BB84" s="77"/>
      <c r="BC84" s="77"/>
      <c r="BD84" s="53"/>
      <c r="BE84" s="53"/>
      <c r="BF84" s="53"/>
      <c r="BG84" s="53"/>
      <c r="BH84" s="53"/>
      <c r="BI84" s="53"/>
      <c r="BJ84" s="77"/>
      <c r="BK84" s="77"/>
      <c r="BL84" s="77"/>
      <c r="BM84" s="77"/>
      <c r="BN84" s="77"/>
      <c r="BO84" s="77"/>
      <c r="BP84" s="53"/>
      <c r="BQ84" s="53"/>
      <c r="BR84" s="53"/>
      <c r="BS84" s="53"/>
      <c r="BT84" s="53"/>
      <c r="BU84" s="53"/>
      <c r="BV84" s="77"/>
      <c r="BW84" s="77"/>
    </row>
    <row r="85" spans="15:75" ht="14.25">
      <c r="P85" s="2"/>
      <c r="Q85" s="2"/>
      <c r="R85" s="2"/>
    </row>
    <row r="86" spans="15:75" ht="14.25">
      <c r="P86" s="313"/>
      <c r="Q86" s="313"/>
      <c r="R86" s="313"/>
    </row>
    <row r="87" spans="15:75" ht="14.25">
      <c r="P87" s="313"/>
      <c r="Q87" s="313"/>
      <c r="R87" s="313"/>
    </row>
    <row r="88" spans="15:75" ht="14.25">
      <c r="P88" s="313"/>
      <c r="Q88" s="313"/>
      <c r="R88" s="313"/>
    </row>
    <row r="89" spans="15:75" ht="14.25">
      <c r="P89" s="313"/>
      <c r="Q89" s="313"/>
      <c r="R89" s="313"/>
    </row>
    <row r="90" spans="15:75" ht="14.25">
      <c r="P90" s="313"/>
      <c r="Q90" s="313"/>
      <c r="R90" s="313"/>
    </row>
    <row r="91" spans="15:75" ht="14.25">
      <c r="P91" s="313"/>
      <c r="Q91" s="313"/>
      <c r="R91" s="313"/>
    </row>
    <row r="92" spans="15:75" ht="14.25">
      <c r="P92" s="313"/>
      <c r="Q92" s="313"/>
      <c r="R92" s="313"/>
    </row>
    <row r="93" spans="15:75" ht="14.25">
      <c r="P93" s="313"/>
      <c r="Q93" s="313"/>
      <c r="R93" s="313"/>
    </row>
    <row r="94" spans="15:75" ht="14.25">
      <c r="P94" s="313"/>
      <c r="Q94" s="313"/>
      <c r="R94" s="313"/>
    </row>
    <row r="95" spans="15:75" ht="14.25">
      <c r="P95" s="313"/>
      <c r="Q95" s="313"/>
      <c r="R95" s="313"/>
    </row>
    <row r="96" spans="15:75" ht="14.25">
      <c r="P96" s="313"/>
      <c r="Q96" s="313"/>
      <c r="R96" s="313"/>
    </row>
    <row r="97" spans="16:18" ht="14.25">
      <c r="P97" s="313"/>
      <c r="Q97" s="313"/>
      <c r="R97" s="313"/>
    </row>
    <row r="98" spans="16:18" ht="14.25">
      <c r="P98" s="313"/>
      <c r="Q98" s="313"/>
      <c r="R98" s="313"/>
    </row>
    <row r="99" spans="16:18" ht="14.25">
      <c r="P99" s="313"/>
      <c r="Q99" s="313"/>
      <c r="R99" s="313"/>
    </row>
    <row r="100" spans="16:18" ht="14.25">
      <c r="P100" s="313"/>
      <c r="Q100" s="313"/>
      <c r="R100" s="313"/>
    </row>
    <row r="101" spans="16:18" ht="14.25">
      <c r="P101" s="313"/>
      <c r="Q101" s="313"/>
      <c r="R101" s="313"/>
    </row>
    <row r="102" spans="16:18" ht="14.25">
      <c r="P102" s="313"/>
      <c r="Q102" s="313"/>
      <c r="R102" s="313"/>
    </row>
    <row r="103" spans="16:18" ht="14.25">
      <c r="P103" s="313"/>
      <c r="Q103" s="313"/>
      <c r="R103" s="313"/>
    </row>
    <row r="104" spans="16:18" ht="14.25">
      <c r="P104" s="313"/>
      <c r="Q104" s="313"/>
      <c r="R104" s="313"/>
    </row>
    <row r="105" spans="16:18" ht="14.25">
      <c r="P105" s="313"/>
      <c r="Q105" s="313"/>
      <c r="R105" s="313"/>
    </row>
    <row r="106" spans="16:18" ht="14.25">
      <c r="P106" s="313"/>
      <c r="Q106" s="313"/>
      <c r="R106" s="313"/>
    </row>
    <row r="107" spans="16:18" ht="14.25">
      <c r="P107" s="313"/>
      <c r="Q107" s="313"/>
      <c r="R107" s="313"/>
    </row>
    <row r="108" spans="16:18" ht="14.25">
      <c r="P108" s="313"/>
      <c r="Q108" s="313"/>
      <c r="R108" s="313"/>
    </row>
    <row r="109" spans="16:18" ht="14.25">
      <c r="P109" s="313"/>
      <c r="Q109" s="313"/>
      <c r="R109" s="313"/>
    </row>
    <row r="110" spans="16:18" ht="14.25">
      <c r="P110" s="313"/>
      <c r="Q110" s="313"/>
      <c r="R110" s="313"/>
    </row>
    <row r="111" spans="16:18" ht="14.25">
      <c r="P111" s="313"/>
      <c r="Q111" s="313"/>
      <c r="R111" s="313"/>
    </row>
    <row r="112" spans="16:18" ht="14.25">
      <c r="P112" s="313"/>
      <c r="Q112" s="313"/>
      <c r="R112" s="313"/>
    </row>
    <row r="113" spans="16:18" ht="14.25">
      <c r="P113" s="313"/>
      <c r="Q113" s="313"/>
      <c r="R113" s="313"/>
    </row>
    <row r="114" spans="16:18" ht="14.25">
      <c r="P114" s="313"/>
      <c r="Q114" s="313"/>
      <c r="R114" s="313"/>
    </row>
    <row r="115" spans="16:18" ht="14.25">
      <c r="P115" s="313"/>
      <c r="Q115" s="313"/>
      <c r="R115" s="313"/>
    </row>
    <row r="116" spans="16:18" ht="14.25">
      <c r="P116" s="313"/>
      <c r="Q116" s="313"/>
      <c r="R116" s="313"/>
    </row>
    <row r="117" spans="16:18" ht="14.25">
      <c r="P117" s="313"/>
      <c r="Q117" s="313"/>
      <c r="R117" s="313"/>
    </row>
    <row r="118" spans="16:18" ht="14.25">
      <c r="P118" s="313"/>
      <c r="Q118" s="313"/>
      <c r="R118" s="313"/>
    </row>
    <row r="119" spans="16:18" ht="14.25">
      <c r="P119" s="313"/>
      <c r="Q119" s="313"/>
      <c r="R119" s="313"/>
    </row>
    <row r="120" spans="16:18" ht="14.25">
      <c r="P120" s="313"/>
      <c r="Q120" s="313"/>
      <c r="R120" s="313"/>
    </row>
    <row r="121" spans="16:18" ht="14.25">
      <c r="P121" s="313"/>
      <c r="Q121" s="313"/>
      <c r="R121" s="313"/>
    </row>
    <row r="122" spans="16:18" ht="14.25">
      <c r="P122" s="313"/>
      <c r="Q122" s="313"/>
      <c r="R122" s="313"/>
    </row>
    <row r="123" spans="16:18" ht="14.25">
      <c r="P123" s="313"/>
      <c r="Q123" s="313"/>
      <c r="R123" s="313"/>
    </row>
    <row r="124" spans="16:18" ht="14.25">
      <c r="P124" s="313"/>
      <c r="Q124" s="313"/>
      <c r="R124" s="313"/>
    </row>
    <row r="125" spans="16:18" ht="14.25">
      <c r="P125" s="313"/>
      <c r="Q125" s="313"/>
      <c r="R125" s="313"/>
    </row>
    <row r="126" spans="16:18" ht="14.25">
      <c r="P126" s="313"/>
      <c r="Q126" s="313"/>
      <c r="R126" s="313"/>
    </row>
    <row r="127" spans="16:18" ht="14.25">
      <c r="P127" s="313"/>
      <c r="Q127" s="313"/>
      <c r="R127" s="313"/>
    </row>
    <row r="128" spans="16:18" ht="14.25">
      <c r="P128" s="313"/>
      <c r="Q128" s="313"/>
      <c r="R128" s="313"/>
    </row>
    <row r="129" spans="16:18" ht="14.25">
      <c r="P129" s="313"/>
      <c r="Q129" s="313"/>
      <c r="R129" s="313"/>
    </row>
    <row r="130" spans="16:18" ht="14.25">
      <c r="P130" s="313"/>
      <c r="Q130" s="313"/>
      <c r="R130" s="313"/>
    </row>
    <row r="131" spans="16:18" ht="14.25">
      <c r="P131" s="313"/>
      <c r="Q131" s="313"/>
      <c r="R131" s="313"/>
    </row>
    <row r="132" spans="16:18" ht="14.25">
      <c r="P132" s="313"/>
      <c r="Q132" s="313"/>
      <c r="R132" s="313"/>
    </row>
    <row r="133" spans="16:18" ht="14.25">
      <c r="P133" s="313"/>
      <c r="Q133" s="313"/>
      <c r="R133" s="313"/>
    </row>
    <row r="134" spans="16:18" ht="14.25">
      <c r="P134" s="313"/>
      <c r="Q134" s="313"/>
      <c r="R134" s="313"/>
    </row>
    <row r="135" spans="16:18" ht="14.25">
      <c r="P135" s="313"/>
      <c r="Q135" s="313"/>
      <c r="R135" s="313"/>
    </row>
    <row r="136" spans="16:18" ht="14.25">
      <c r="P136" s="313"/>
      <c r="Q136" s="313"/>
      <c r="R136" s="313"/>
    </row>
    <row r="137" spans="16:18" ht="14.25">
      <c r="P137" s="313"/>
      <c r="Q137" s="313"/>
      <c r="R137" s="313"/>
    </row>
    <row r="138" spans="16:18" ht="14.25">
      <c r="P138" s="313"/>
      <c r="Q138" s="313"/>
      <c r="R138" s="313"/>
    </row>
    <row r="139" spans="16:18" ht="14.25">
      <c r="P139" s="313"/>
      <c r="Q139" s="313"/>
      <c r="R139" s="313"/>
    </row>
    <row r="140" spans="16:18" ht="14.25">
      <c r="P140" s="313"/>
      <c r="Q140" s="313"/>
      <c r="R140" s="313"/>
    </row>
    <row r="141" spans="16:18" ht="14.25">
      <c r="P141" s="313"/>
      <c r="Q141" s="313"/>
      <c r="R141" s="313"/>
    </row>
    <row r="142" spans="16:18" ht="14.25">
      <c r="P142" s="313"/>
      <c r="Q142" s="313"/>
      <c r="R142" s="313"/>
    </row>
    <row r="143" spans="16:18" ht="14.25">
      <c r="P143" s="313"/>
      <c r="Q143" s="313"/>
      <c r="R143" s="313"/>
    </row>
    <row r="144" spans="16:18" ht="14.25">
      <c r="P144" s="313"/>
      <c r="Q144" s="313"/>
      <c r="R144" s="313"/>
    </row>
    <row r="145" spans="16:18" ht="14.25">
      <c r="P145" s="313"/>
      <c r="Q145" s="313"/>
      <c r="R145" s="313"/>
    </row>
    <row r="146" spans="16:18" ht="14.25">
      <c r="P146" s="313"/>
      <c r="Q146" s="313"/>
      <c r="R146" s="313"/>
    </row>
    <row r="147" spans="16:18" ht="14.25">
      <c r="P147" s="313"/>
      <c r="Q147" s="313"/>
      <c r="R147" s="313"/>
    </row>
    <row r="148" spans="16:18" ht="14.25">
      <c r="P148" s="313"/>
      <c r="Q148" s="313"/>
      <c r="R148" s="313"/>
    </row>
    <row r="149" spans="16:18" ht="14.25">
      <c r="P149" s="313"/>
      <c r="Q149" s="313"/>
      <c r="R149" s="313"/>
    </row>
    <row r="150" spans="16:18" ht="14.25">
      <c r="P150" s="313"/>
      <c r="Q150" s="313"/>
      <c r="R150" s="313"/>
    </row>
    <row r="151" spans="16:18" ht="14.25">
      <c r="P151" s="313"/>
      <c r="Q151" s="313"/>
      <c r="R151" s="313"/>
    </row>
    <row r="152" spans="16:18" ht="14.25">
      <c r="P152" s="313"/>
      <c r="Q152" s="313"/>
      <c r="R152" s="313"/>
    </row>
    <row r="153" spans="16:18" ht="14.25">
      <c r="P153" s="313"/>
      <c r="Q153" s="313"/>
      <c r="R153" s="313"/>
    </row>
    <row r="154" spans="16:18" ht="14.25">
      <c r="P154" s="313"/>
      <c r="Q154" s="313"/>
      <c r="R154" s="313"/>
    </row>
    <row r="155" spans="16:18" ht="14.25">
      <c r="P155" s="313"/>
      <c r="Q155" s="313"/>
      <c r="R155" s="313"/>
    </row>
    <row r="156" spans="16:18" ht="14.25">
      <c r="P156" s="313"/>
      <c r="Q156" s="313"/>
      <c r="R156" s="313"/>
    </row>
    <row r="157" spans="16:18" ht="14.25">
      <c r="P157" s="313"/>
      <c r="Q157" s="313"/>
      <c r="R157" s="313"/>
    </row>
    <row r="158" spans="16:18" ht="14.25">
      <c r="P158" s="313"/>
      <c r="Q158" s="313"/>
      <c r="R158" s="313"/>
    </row>
    <row r="159" spans="16:18" ht="14.25">
      <c r="P159" s="313"/>
      <c r="Q159" s="313"/>
      <c r="R159" s="313"/>
    </row>
    <row r="160" spans="16:18" ht="14.25">
      <c r="P160" s="313"/>
      <c r="Q160" s="313"/>
      <c r="R160" s="313"/>
    </row>
    <row r="161" spans="16:18" ht="14.25">
      <c r="P161" s="313"/>
      <c r="Q161" s="313"/>
      <c r="R161" s="313"/>
    </row>
    <row r="162" spans="16:18" ht="14.25">
      <c r="P162" s="313"/>
      <c r="Q162" s="313"/>
      <c r="R162" s="313"/>
    </row>
    <row r="163" spans="16:18" ht="14.25">
      <c r="P163" s="313"/>
      <c r="Q163" s="313"/>
      <c r="R163" s="313"/>
    </row>
    <row r="164" spans="16:18" ht="14.25">
      <c r="P164" s="313"/>
      <c r="Q164" s="313"/>
      <c r="R164" s="313"/>
    </row>
    <row r="165" spans="16:18" ht="14.25">
      <c r="P165" s="313"/>
      <c r="Q165" s="313"/>
      <c r="R165" s="313"/>
    </row>
    <row r="166" spans="16:18" ht="14.25">
      <c r="P166" s="313"/>
      <c r="Q166" s="313"/>
      <c r="R166" s="313"/>
    </row>
    <row r="167" spans="16:18" ht="14.25">
      <c r="P167" s="313"/>
      <c r="Q167" s="313"/>
      <c r="R167" s="313"/>
    </row>
    <row r="168" spans="16:18" ht="14.25">
      <c r="P168" s="313"/>
      <c r="Q168" s="313"/>
      <c r="R168" s="313"/>
    </row>
    <row r="169" spans="16:18" ht="14.25">
      <c r="P169" s="313"/>
      <c r="Q169" s="313"/>
      <c r="R169" s="313"/>
    </row>
    <row r="170" spans="16:18" ht="14.25">
      <c r="P170" s="313"/>
      <c r="Q170" s="313"/>
      <c r="R170" s="313"/>
    </row>
    <row r="171" spans="16:18" ht="14.25">
      <c r="P171" s="313"/>
      <c r="Q171" s="313"/>
      <c r="R171" s="313"/>
    </row>
    <row r="172" spans="16:18" ht="14.25">
      <c r="P172" s="313"/>
      <c r="Q172" s="313"/>
      <c r="R172" s="313"/>
    </row>
    <row r="173" spans="16:18" ht="14.25">
      <c r="P173" s="313"/>
      <c r="Q173" s="313"/>
      <c r="R173" s="313"/>
    </row>
    <row r="174" spans="16:18" ht="14.25">
      <c r="P174" s="313"/>
      <c r="Q174" s="313"/>
      <c r="R174" s="313"/>
    </row>
    <row r="175" spans="16:18" ht="14.25">
      <c r="P175" s="313"/>
      <c r="Q175" s="313"/>
      <c r="R175" s="313"/>
    </row>
    <row r="176" spans="16:18" ht="14.25">
      <c r="P176" s="313"/>
      <c r="Q176" s="313"/>
      <c r="R176" s="313"/>
    </row>
    <row r="177" spans="16:18" ht="14.25">
      <c r="P177" s="313"/>
      <c r="Q177" s="313"/>
      <c r="R177" s="313"/>
    </row>
    <row r="178" spans="16:18" ht="14.25">
      <c r="P178" s="313"/>
      <c r="Q178" s="313"/>
      <c r="R178" s="313"/>
    </row>
    <row r="179" spans="16:18" ht="14.25">
      <c r="P179" s="313"/>
      <c r="Q179" s="313"/>
      <c r="R179" s="313"/>
    </row>
    <row r="180" spans="16:18" ht="14.25">
      <c r="P180" s="313"/>
      <c r="Q180" s="313"/>
      <c r="R180" s="313"/>
    </row>
    <row r="181" spans="16:18" ht="14.25">
      <c r="P181" s="313"/>
      <c r="Q181" s="313"/>
      <c r="R181" s="313"/>
    </row>
    <row r="182" spans="16:18" ht="14.25">
      <c r="P182" s="313"/>
      <c r="Q182" s="313"/>
      <c r="R182" s="313"/>
    </row>
    <row r="183" spans="16:18" ht="14.25">
      <c r="P183" s="313"/>
      <c r="Q183" s="313"/>
      <c r="R183" s="313"/>
    </row>
    <row r="184" spans="16:18" ht="14.25">
      <c r="P184" s="313"/>
      <c r="Q184" s="313"/>
      <c r="R184" s="313"/>
    </row>
    <row r="185" spans="16:18" ht="14.25">
      <c r="P185" s="313"/>
      <c r="Q185" s="313"/>
      <c r="R185" s="313"/>
    </row>
    <row r="186" spans="16:18" ht="14.25">
      <c r="P186" s="313"/>
      <c r="Q186" s="313"/>
      <c r="R186" s="313"/>
    </row>
    <row r="187" spans="16:18" ht="14.25">
      <c r="P187" s="313"/>
      <c r="Q187" s="313"/>
      <c r="R187" s="313"/>
    </row>
    <row r="188" spans="16:18" ht="14.25">
      <c r="P188" s="313"/>
      <c r="Q188" s="313"/>
      <c r="R188" s="313"/>
    </row>
    <row r="189" spans="16:18" ht="14.25">
      <c r="P189" s="313"/>
      <c r="Q189" s="313"/>
      <c r="R189" s="313"/>
    </row>
    <row r="190" spans="16:18" ht="14.25">
      <c r="P190" s="313"/>
      <c r="Q190" s="313"/>
      <c r="R190" s="313"/>
    </row>
    <row r="191" spans="16:18" ht="14.25">
      <c r="P191" s="313"/>
      <c r="Q191" s="313"/>
      <c r="R191" s="313"/>
    </row>
    <row r="192" spans="16:18" ht="14.25">
      <c r="P192" s="313"/>
      <c r="Q192" s="313"/>
      <c r="R192" s="313"/>
    </row>
    <row r="193" spans="16:18" ht="14.25">
      <c r="P193" s="313"/>
      <c r="Q193" s="313"/>
      <c r="R193" s="313"/>
    </row>
    <row r="194" spans="16:18" ht="14.25">
      <c r="P194" s="313"/>
      <c r="Q194" s="313"/>
      <c r="R194" s="313"/>
    </row>
    <row r="195" spans="16:18" ht="14.25">
      <c r="P195" s="313"/>
      <c r="Q195" s="313"/>
      <c r="R195" s="313"/>
    </row>
    <row r="196" spans="16:18" ht="14.25">
      <c r="P196" s="313"/>
      <c r="Q196" s="313"/>
      <c r="R196" s="313"/>
    </row>
    <row r="197" spans="16:18" ht="14.25">
      <c r="P197" s="313"/>
      <c r="Q197" s="313"/>
      <c r="R197" s="313"/>
    </row>
    <row r="198" spans="16:18" ht="14.25">
      <c r="P198" s="313"/>
      <c r="Q198" s="313"/>
      <c r="R198" s="313"/>
    </row>
    <row r="199" spans="16:18" ht="14.25">
      <c r="P199" s="313"/>
      <c r="Q199" s="313"/>
      <c r="R199" s="313"/>
    </row>
    <row r="200" spans="16:18" ht="14.25">
      <c r="P200" s="313"/>
      <c r="Q200" s="313"/>
      <c r="R200" s="313"/>
    </row>
    <row r="201" spans="16:18" ht="14.25">
      <c r="P201" s="313"/>
      <c r="Q201" s="313"/>
      <c r="R201" s="313"/>
    </row>
    <row r="202" spans="16:18" ht="14.25">
      <c r="P202" s="313"/>
      <c r="Q202" s="313"/>
      <c r="R202" s="313"/>
    </row>
    <row r="203" spans="16:18" ht="14.25">
      <c r="P203" s="313"/>
      <c r="Q203" s="313"/>
      <c r="R203" s="313"/>
    </row>
    <row r="204" spans="16:18" ht="14.25">
      <c r="P204" s="313"/>
      <c r="Q204" s="313"/>
      <c r="R204" s="313"/>
    </row>
    <row r="205" spans="16:18" ht="14.25">
      <c r="P205" s="313"/>
      <c r="Q205" s="313"/>
      <c r="R205" s="313"/>
    </row>
  </sheetData>
  <autoFilter ref="A3:CU65">
    <filterColumn colId="4"/>
  </autoFilter>
  <mergeCells count="209">
    <mergeCell ref="AC35:AC36"/>
    <mergeCell ref="AG35:AG36"/>
    <mergeCell ref="A28:A31"/>
    <mergeCell ref="B28:B31"/>
    <mergeCell ref="A32:A34"/>
    <mergeCell ref="P53:P56"/>
    <mergeCell ref="Q53:Q56"/>
    <mergeCell ref="R53:R56"/>
    <mergeCell ref="K53:K56"/>
    <mergeCell ref="M53:M56"/>
    <mergeCell ref="O53:O56"/>
    <mergeCell ref="H53:H56"/>
    <mergeCell ref="N53:N56"/>
    <mergeCell ref="K50:K51"/>
    <mergeCell ref="M50:M51"/>
    <mergeCell ref="K46:K47"/>
    <mergeCell ref="M46:M47"/>
    <mergeCell ref="B32:B34"/>
    <mergeCell ref="A35:A36"/>
    <mergeCell ref="B35:B36"/>
    <mergeCell ref="K35:K36"/>
    <mergeCell ref="M35:M36"/>
    <mergeCell ref="W35:W36"/>
    <mergeCell ref="AA35:AA36"/>
    <mergeCell ref="A5:A8"/>
    <mergeCell ref="B5:B8"/>
    <mergeCell ref="T2:X2"/>
    <mergeCell ref="Z2:AD2"/>
    <mergeCell ref="AF2:AJ2"/>
    <mergeCell ref="AL2:AP2"/>
    <mergeCell ref="AR2:AV2"/>
    <mergeCell ref="A23:A27"/>
    <mergeCell ref="B23:B27"/>
    <mergeCell ref="K20:K21"/>
    <mergeCell ref="M20:M21"/>
    <mergeCell ref="A20:A21"/>
    <mergeCell ref="B20:B21"/>
    <mergeCell ref="I20:I21"/>
    <mergeCell ref="U20:U21"/>
    <mergeCell ref="A9:A11"/>
    <mergeCell ref="B9:B11"/>
    <mergeCell ref="A12:A14"/>
    <mergeCell ref="B12:B14"/>
    <mergeCell ref="A17:A19"/>
    <mergeCell ref="B17:B19"/>
    <mergeCell ref="K17:K19"/>
    <mergeCell ref="M17:M19"/>
    <mergeCell ref="BS17:BS19"/>
    <mergeCell ref="BG17:BG19"/>
    <mergeCell ref="BK17:BK19"/>
    <mergeCell ref="BM17:BM19"/>
    <mergeCell ref="BQ17:BQ19"/>
    <mergeCell ref="I17:I19"/>
    <mergeCell ref="U17:U19"/>
    <mergeCell ref="BJ2:BN2"/>
    <mergeCell ref="BP2:BT2"/>
    <mergeCell ref="AX2:BB2"/>
    <mergeCell ref="BD2:BH2"/>
    <mergeCell ref="J2:O2"/>
    <mergeCell ref="BV2:BZ2"/>
    <mergeCell ref="W17:W19"/>
    <mergeCell ref="AA17:AA19"/>
    <mergeCell ref="AC17:AC19"/>
    <mergeCell ref="AG17:AG19"/>
    <mergeCell ref="BW17:BW19"/>
    <mergeCell ref="BY17:BY19"/>
    <mergeCell ref="W20:W21"/>
    <mergeCell ref="AA20:AA21"/>
    <mergeCell ref="AC20:AC21"/>
    <mergeCell ref="BA17:BA19"/>
    <mergeCell ref="BE17:BE19"/>
    <mergeCell ref="AI17:AI19"/>
    <mergeCell ref="AM17:AM19"/>
    <mergeCell ref="AO17:AO19"/>
    <mergeCell ref="AS17:AS19"/>
    <mergeCell ref="AU17:AU19"/>
    <mergeCell ref="AY17:AY19"/>
    <mergeCell ref="BQ20:BQ21"/>
    <mergeCell ref="BS20:BS21"/>
    <mergeCell ref="BW20:BW21"/>
    <mergeCell ref="BY20:BY21"/>
    <mergeCell ref="AY20:AY21"/>
    <mergeCell ref="BA20:BA21"/>
    <mergeCell ref="BE20:BE21"/>
    <mergeCell ref="BG20:BG21"/>
    <mergeCell ref="BK20:BK21"/>
    <mergeCell ref="BM20:BM21"/>
    <mergeCell ref="AG20:AG21"/>
    <mergeCell ref="AI20:AI21"/>
    <mergeCell ref="AM20:AM21"/>
    <mergeCell ref="AO20:AO21"/>
    <mergeCell ref="AS20:AS21"/>
    <mergeCell ref="AU20:AU21"/>
    <mergeCell ref="BS35:BS36"/>
    <mergeCell ref="BW35:BW36"/>
    <mergeCell ref="BY35:BY36"/>
    <mergeCell ref="A38:A39"/>
    <mergeCell ref="B38:B39"/>
    <mergeCell ref="I38:I39"/>
    <mergeCell ref="U38:U39"/>
    <mergeCell ref="W38:W39"/>
    <mergeCell ref="AA38:AA39"/>
    <mergeCell ref="AC38:AC39"/>
    <mergeCell ref="BA35:BA36"/>
    <mergeCell ref="BE35:BE36"/>
    <mergeCell ref="BG35:BG36"/>
    <mergeCell ref="BK35:BK36"/>
    <mergeCell ref="BM35:BM36"/>
    <mergeCell ref="BQ35:BQ36"/>
    <mergeCell ref="AI35:AI36"/>
    <mergeCell ref="AM35:AM36"/>
    <mergeCell ref="AO35:AO36"/>
    <mergeCell ref="AS35:AS36"/>
    <mergeCell ref="AU35:AU36"/>
    <mergeCell ref="AY35:AY36"/>
    <mergeCell ref="I35:I36"/>
    <mergeCell ref="U35:U36"/>
    <mergeCell ref="BY38:BY39"/>
    <mergeCell ref="A40:A42"/>
    <mergeCell ref="B40:B42"/>
    <mergeCell ref="AY38:AY39"/>
    <mergeCell ref="BA38:BA39"/>
    <mergeCell ref="BE38:BE39"/>
    <mergeCell ref="BG38:BG39"/>
    <mergeCell ref="BK38:BK39"/>
    <mergeCell ref="BM38:BM39"/>
    <mergeCell ref="AG38:AG39"/>
    <mergeCell ref="AI38:AI39"/>
    <mergeCell ref="AM38:AM39"/>
    <mergeCell ref="AO38:AO39"/>
    <mergeCell ref="AS38:AS39"/>
    <mergeCell ref="AU38:AU39"/>
    <mergeCell ref="K38:K39"/>
    <mergeCell ref="M38:M39"/>
    <mergeCell ref="A43:A45"/>
    <mergeCell ref="B43:B45"/>
    <mergeCell ref="A46:A47"/>
    <mergeCell ref="B46:B47"/>
    <mergeCell ref="I46:I47"/>
    <mergeCell ref="U46:U47"/>
    <mergeCell ref="BQ38:BQ39"/>
    <mergeCell ref="BS38:BS39"/>
    <mergeCell ref="BW38:BW39"/>
    <mergeCell ref="AY46:AY47"/>
    <mergeCell ref="BA46:BA47"/>
    <mergeCell ref="BE46:BE47"/>
    <mergeCell ref="W46:W47"/>
    <mergeCell ref="AA46:AA47"/>
    <mergeCell ref="AC46:AC47"/>
    <mergeCell ref="AG46:AG47"/>
    <mergeCell ref="AI46:AI47"/>
    <mergeCell ref="AM46:AM47"/>
    <mergeCell ref="AU50:AU51"/>
    <mergeCell ref="AY50:AY51"/>
    <mergeCell ref="BA50:BA51"/>
    <mergeCell ref="G54:G56"/>
    <mergeCell ref="BA53:BA56"/>
    <mergeCell ref="BY46:BY47"/>
    <mergeCell ref="A50:A51"/>
    <mergeCell ref="B50:B51"/>
    <mergeCell ref="I50:I51"/>
    <mergeCell ref="U50:U51"/>
    <mergeCell ref="W50:W51"/>
    <mergeCell ref="AA50:AA51"/>
    <mergeCell ref="AC50:AC51"/>
    <mergeCell ref="AG50:AG51"/>
    <mergeCell ref="AI50:AI51"/>
    <mergeCell ref="BG46:BG47"/>
    <mergeCell ref="BK46:BK47"/>
    <mergeCell ref="BM46:BM47"/>
    <mergeCell ref="BQ46:BQ47"/>
    <mergeCell ref="BS46:BS47"/>
    <mergeCell ref="BW46:BW47"/>
    <mergeCell ref="AO46:AO47"/>
    <mergeCell ref="AS46:AS47"/>
    <mergeCell ref="AU46:AU47"/>
    <mergeCell ref="BM53:BM56"/>
    <mergeCell ref="BQ53:BQ56"/>
    <mergeCell ref="BS53:BS56"/>
    <mergeCell ref="BW53:BW56"/>
    <mergeCell ref="BY53:BY56"/>
    <mergeCell ref="BW50:BW51"/>
    <mergeCell ref="BY50:BY51"/>
    <mergeCell ref="A53:A56"/>
    <mergeCell ref="B53:B56"/>
    <mergeCell ref="I53:I56"/>
    <mergeCell ref="U53:U56"/>
    <mergeCell ref="W53:W56"/>
    <mergeCell ref="AA53:AA56"/>
    <mergeCell ref="AC53:AC56"/>
    <mergeCell ref="AG53:AG56"/>
    <mergeCell ref="BE50:BE51"/>
    <mergeCell ref="BG50:BG51"/>
    <mergeCell ref="BK50:BK51"/>
    <mergeCell ref="BM50:BM51"/>
    <mergeCell ref="BQ50:BQ51"/>
    <mergeCell ref="BS50:BS51"/>
    <mergeCell ref="AM50:AM51"/>
    <mergeCell ref="AO50:AO51"/>
    <mergeCell ref="AS50:AS51"/>
    <mergeCell ref="BE53:BE56"/>
    <mergeCell ref="BG53:BG56"/>
    <mergeCell ref="AI53:AI56"/>
    <mergeCell ref="AM53:AM56"/>
    <mergeCell ref="AO53:AO56"/>
    <mergeCell ref="AS53:AS56"/>
    <mergeCell ref="AU53:AU56"/>
    <mergeCell ref="AY53:AY56"/>
    <mergeCell ref="BK53:BK56"/>
  </mergeCells>
  <phoneticPr fontId="3" type="noConversion"/>
  <conditionalFormatting sqref="BZ4:BZ56 AJ4:AJ56 AV4:AV56 BB4:BB56 BH4:BH56 AP4:AP56 AD4:AD56 X4:X56 BN4:BN56 BT4:BT56">
    <cfRule type="cellIs" dxfId="164" priority="417" operator="lessThan">
      <formula>-0.3</formula>
    </cfRule>
    <cfRule type="cellIs" dxfId="163" priority="418" operator="greaterThan">
      <formula>0.3</formula>
    </cfRule>
  </conditionalFormatting>
  <conditionalFormatting sqref="U5 AA5 AG5 AM5 AS5 AY5 BE5 BW5 BK5 AC5 U9 U12 U15:U16 W5 BG5 BM5 BQ5">
    <cfRule type="cellIs" dxfId="162" priority="416" operator="notEqual">
      <formula>$I$5</formula>
    </cfRule>
  </conditionalFormatting>
  <conditionalFormatting sqref="U9 AA9 AG9 AM9 AS9 AY9 BE9 BK9 BQ9 BW9 U12 U15:U16 AI9">
    <cfRule type="cellIs" dxfId="161" priority="405" operator="notEqual">
      <formula>$I$9</formula>
    </cfRule>
  </conditionalFormatting>
  <conditionalFormatting sqref="U12 AA12 AG12 AM12 AS12 AY12 BE12 BK12 BQ12 BW12 U15:U16">
    <cfRule type="cellIs" dxfId="160" priority="395" operator="notEqual">
      <formula>$I$12</formula>
    </cfRule>
  </conditionalFormatting>
  <conditionalFormatting sqref="BW20:BW21 AA20:AA21 AG20:AG21 AM20:AM21 AS20:AS21 AY20:AY21 BE20:BE21 BK20:BK21 BQ20:BQ21 U20">
    <cfRule type="cellIs" dxfId="159" priority="385" operator="notEqual">
      <formula>$I$20</formula>
    </cfRule>
  </conditionalFormatting>
  <conditionalFormatting sqref="AA22 AG22 AM22 AS22 AY22 BE22 BK22 BQ22 BW22 U22 W22 AC22 AI22 AO22 AU22 BA22 BG22 BM22 BS22 BY22">
    <cfRule type="cellIs" dxfId="158" priority="375" operator="notEqual">
      <formula>$I$22</formula>
    </cfRule>
  </conditionalFormatting>
  <conditionalFormatting sqref="U23 AA23 AG23 AM23 AS23 AY23 BE23 BK23 BQ23 BW23 W23 AC23 AI23 AO23 AU23 BA23 BG23 BM23 BS23 BY23">
    <cfRule type="cellIs" dxfId="157" priority="364" operator="notEqual">
      <formula>$I$23</formula>
    </cfRule>
  </conditionalFormatting>
  <conditionalFormatting sqref="U28 AA28 AG28 AM28 AS28 AY28 BE28 BK28 BQ28 BW28 W28 AC28 AI28 AO28 AU28 BA28 BG28 BM28 BS28 BY28">
    <cfRule type="cellIs" dxfId="156" priority="354" operator="notEqual">
      <formula>$I$28</formula>
    </cfRule>
  </conditionalFormatting>
  <conditionalFormatting sqref="U32 AA32 AG32 AM32 AS32 AY32 BE32 BK32 BQ32 BW32 W32 AC32 AI32 AO32 AU32 BA32 BG32 BM32 BS32 BY32">
    <cfRule type="cellIs" dxfId="155" priority="344" operator="notEqual">
      <formula>$I$32</formula>
    </cfRule>
  </conditionalFormatting>
  <conditionalFormatting sqref="U35:U36 AA35:AA36 AG35:AG36 AM35:AM36 AS35:AS36 AY35:AY36 BE35:BE36 BK35:BK36 BQ35:BQ36 BW35:BW36">
    <cfRule type="cellIs" dxfId="154" priority="334" operator="notEqual">
      <formula>$I$35</formula>
    </cfRule>
  </conditionalFormatting>
  <conditionalFormatting sqref="U38:U39 AA38:AA39 AG38:AG39 AM38:AM39 AS38:AS39 AY38:AY39 BE38:BE39 BK38:BK39 BQ38:BQ39 BW38:BW39 W38:W39 AC38:AC39 AI38:AI39 AO38:AO39 AU38:AU39 BA38:BA39 BG38:BG39 BM38:BM39 BS38:BS39 BY38:BY39">
    <cfRule type="cellIs" dxfId="153" priority="324" operator="notEqual">
      <formula>$I$38</formula>
    </cfRule>
  </conditionalFormatting>
  <conditionalFormatting sqref="U40 AA40 AG40 AM40 AS40 AY40 BE40 BK40 BQ40 BW40 W40 AC40 AI40 AO40 AU40 BA40 BG40 BM40 BS40 BY40">
    <cfRule type="cellIs" dxfId="152" priority="314" operator="notEqual">
      <formula>$I$40</formula>
    </cfRule>
  </conditionalFormatting>
  <conditionalFormatting sqref="U43 AA43 AG43 AM43 AS43 AY43 BE43 BK43 BQ43 BW43 W43 AC43 AI43 AO43 AU43 BA43 BG43 BM43 BS43 BY43">
    <cfRule type="cellIs" dxfId="151" priority="304" operator="notEqual">
      <formula>$I$43</formula>
    </cfRule>
  </conditionalFormatting>
  <conditionalFormatting sqref="U46:U47 AA46:AA47 AG46:AG47 AM46:AM47 AS46:AS47 AY46:AY47 BE46:BE47 BK46:BK47 BQ46:BQ47 BW46:BW47">
    <cfRule type="cellIs" dxfId="150" priority="294" operator="notEqual">
      <formula>$I$46</formula>
    </cfRule>
  </conditionalFormatting>
  <conditionalFormatting sqref="U48 AA48 AG48 AM48 AS48 AY48 BE48 BK48 BQ48 BW48">
    <cfRule type="cellIs" dxfId="149" priority="284" operator="notEqual">
      <formula>$I$48</formula>
    </cfRule>
  </conditionalFormatting>
  <conditionalFormatting sqref="U50:U51 AA50:AA51 AG50:AG51 AM50:AM51 AS50:AS51 AY50:AY51 BE50:BE51 BK50:BK51 BQ50:BQ51 BW50:BW51">
    <cfRule type="cellIs" dxfId="148" priority="274" operator="notEqual">
      <formula>$I$50</formula>
    </cfRule>
  </conditionalFormatting>
  <conditionalFormatting sqref="BZ4:BZ55 X4:X55 AD4:AD55 AP4:AP55 BH4:BH55 BB4:BB55 AV4:AV55 AJ4:AJ55 BN4:BN55 BT4:BT55">
    <cfRule type="cellIs" dxfId="147" priority="263" stopIfTrue="1" operator="lessThanOrEqual">
      <formula>-0.3</formula>
    </cfRule>
    <cfRule type="cellIs" dxfId="146" priority="264" stopIfTrue="1" operator="greaterThanOrEqual">
      <formula>0.3</formula>
    </cfRule>
  </conditionalFormatting>
  <conditionalFormatting sqref="W4 AC4 AI4 AO4 AU4 BA4 BG4 BM4 BS4 BY4">
    <cfRule type="cellIs" dxfId="145" priority="124" operator="notEqual">
      <formula>$I$4</formula>
    </cfRule>
  </conditionalFormatting>
  <conditionalFormatting sqref="W37 AC37 AI37 AO37 AU37 BA37 BG37 BM37 BS37 BY37">
    <cfRule type="cellIs" dxfId="144" priority="119" operator="notEqual">
      <formula>$I$37</formula>
    </cfRule>
  </conditionalFormatting>
  <conditionalFormatting sqref="W46:W47 AC46:AC47 AI46:AI47 AO46:AO47 AU46:AU47 BA46:BA47 BG46:BG47 BM46:BM47 BS46:BS47 BY46:BY47">
    <cfRule type="cellIs" dxfId="143" priority="87" operator="notEqual">
      <formula>6</formula>
    </cfRule>
  </conditionalFormatting>
  <conditionalFormatting sqref="W48 AC48 AI48 AO48 AU48 BA48 BG48 BM48 BS48 BY48">
    <cfRule type="cellIs" dxfId="142" priority="77" operator="notEqual">
      <formula>5</formula>
    </cfRule>
  </conditionalFormatting>
  <conditionalFormatting sqref="W49 AC49 AI49 AO49 AU49 BA49 BG49 BM49 BS49 BY49">
    <cfRule type="cellIs" dxfId="141" priority="67" operator="notEqual">
      <formula>"不扣分"</formula>
    </cfRule>
  </conditionalFormatting>
  <conditionalFormatting sqref="W50:W51 AC50:AC51 AI50:AI51 AO50:AO51 AU50:AU51 BA50:BA51 BG50:BG51 BM50:BM51 BS50:BS51 BY50:BY51">
    <cfRule type="cellIs" dxfId="140" priority="57" operator="notEqual">
      <formula>3</formula>
    </cfRule>
  </conditionalFormatting>
  <conditionalFormatting sqref="W52 AC52 AI52 AO52 AU52 BA52 BG52 BM52 BS52 BY52">
    <cfRule type="cellIs" dxfId="139" priority="46" operator="notEqual">
      <formula>$I$52</formula>
    </cfRule>
  </conditionalFormatting>
  <conditionalFormatting sqref="O4:R48 P50:P53">
    <cfRule type="expression" dxfId="138" priority="35">
      <formula>$O4&lt;&gt;0</formula>
    </cfRule>
  </conditionalFormatting>
  <conditionalFormatting sqref="O50:R53">
    <cfRule type="expression" dxfId="137" priority="34">
      <formula>$O50&lt;&gt;0</formula>
    </cfRule>
  </conditionalFormatting>
  <conditionalFormatting sqref="U4">
    <cfRule type="expression" dxfId="136" priority="32">
      <formula>$U4&lt;&gt;$I4</formula>
    </cfRule>
  </conditionalFormatting>
  <conditionalFormatting sqref="U5">
    <cfRule type="expression" dxfId="135" priority="31">
      <formula>$U5&lt;&gt;$I5</formula>
    </cfRule>
  </conditionalFormatting>
  <conditionalFormatting sqref="U9">
    <cfRule type="expression" dxfId="134" priority="29">
      <formula>$U9&lt;&gt;$I9</formula>
    </cfRule>
  </conditionalFormatting>
  <conditionalFormatting sqref="U12">
    <cfRule type="expression" dxfId="133" priority="26">
      <formula>$U12&lt;&gt;$I12</formula>
    </cfRule>
  </conditionalFormatting>
  <conditionalFormatting sqref="U15:U16">
    <cfRule type="expression" dxfId="132" priority="22">
      <formula>$U15&lt;&gt;$I15</formula>
    </cfRule>
  </conditionalFormatting>
  <conditionalFormatting sqref="U17:U19">
    <cfRule type="expression" dxfId="131" priority="21">
      <formula>$U17&lt;&gt;$I17</formula>
    </cfRule>
  </conditionalFormatting>
  <conditionalFormatting sqref="AG17:AG19">
    <cfRule type="expression" dxfId="130" priority="14" stopIfTrue="1">
      <formula>AG$17&lt;&gt;I$17</formula>
    </cfRule>
  </conditionalFormatting>
  <conditionalFormatting sqref="P50:R53 P65:R65 P5:R48 P60:R61">
    <cfRule type="expression" dxfId="129" priority="7">
      <formula>$I5&gt;$M5</formula>
    </cfRule>
  </conditionalFormatting>
  <conditionalFormatting sqref="P4:R4 R50:R53 P50:P53 R65 R5:R48 P5:P48 R60:R61">
    <cfRule type="expression" dxfId="128" priority="5">
      <formula>$I4&gt;$M4</formula>
    </cfRule>
  </conditionalFormatting>
  <conditionalFormatting sqref="Q50:Q53 Q65 Q5:Q48 Q60:Q61">
    <cfRule type="expression" dxfId="127" priority="4">
      <formula>$I5&gt;$M5</formula>
    </cfRule>
  </conditionalFormatting>
  <conditionalFormatting sqref="R50:R53 R65 R5:R48 R60:R61">
    <cfRule type="expression" dxfId="126" priority="3">
      <formula>$I5&gt;$M5</formula>
    </cfRule>
  </conditionalFormatting>
  <conditionalFormatting sqref="N4:N56">
    <cfRule type="cellIs" dxfId="125" priority="1" operator="lessThan">
      <formula>0</formula>
    </cfRule>
    <cfRule type="cellIs" dxfId="124" priority="2" operator="greaterThan">
      <formula>0</formula>
    </cfRule>
  </conditionalFormatting>
  <dataValidations count="1">
    <dataValidation type="list" allowBlank="1" showInputMessage="1" showErrorMessage="1" sqref="A37:B37 A52:B52 A15:B16">
      <formula1>#REF!</formula1>
    </dataValidation>
  </dataValidations>
  <hyperlinks>
    <hyperlink ref="D69" location="权重!A1" display="权重!A1"/>
    <hyperlink ref="D70" location="目录!A1" display="目录!A1"/>
  </hyperlink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sheetPr codeName="Sheet2">
    <tabColor theme="6"/>
  </sheetPr>
  <dimension ref="A1:AU176"/>
  <sheetViews>
    <sheetView zoomScale="96" zoomScaleNormal="96" workbookViewId="0">
      <pane xSplit="8" ySplit="3" topLeftCell="I7" activePane="bottomRight" state="frozenSplit"/>
      <selection activeCell="C1" sqref="C1"/>
      <selection pane="topRight" activeCell="M1" sqref="M1"/>
      <selection pane="bottomLeft" activeCell="C15" sqref="C15"/>
      <selection pane="bottomRight" activeCell="C20" sqref="A20:XFD21"/>
    </sheetView>
  </sheetViews>
  <sheetFormatPr defaultColWidth="8.875" defaultRowHeight="16.5" outlineLevelCol="2"/>
  <cols>
    <col min="1" max="1" width="23.25" style="19" hidden="1" customWidth="1" outlineLevel="1"/>
    <col min="2" max="2" width="27.75" style="19" hidden="1" customWidth="1" outlineLevel="1"/>
    <col min="3" max="3" width="4.625" style="8" customWidth="1" collapsed="1"/>
    <col min="4" max="4" width="48.5" style="19" customWidth="1"/>
    <col min="5" max="5" width="13.125" style="2" customWidth="1" outlineLevel="1"/>
    <col min="6" max="6" width="11.75" style="95" customWidth="1" outlineLevel="2"/>
    <col min="7" max="7" width="13.25" customWidth="1" outlineLevel="1"/>
    <col min="8" max="8" width="6.5" style="1" customWidth="1"/>
    <col min="9" max="9" width="17.5" style="2" hidden="1" customWidth="1" outlineLevel="2"/>
    <col min="10" max="10" width="15.25" style="25" hidden="1" customWidth="1" outlineLevel="1" collapsed="1"/>
    <col min="11" max="11" width="15.625" style="25" hidden="1" customWidth="1" outlineLevel="1"/>
    <col min="12" max="12" width="6.375" style="1" hidden="1" customWidth="1" outlineLevel="1"/>
    <col min="13" max="14" width="6.5" style="1" hidden="1" customWidth="1" outlineLevel="1"/>
    <col min="15" max="15" width="7.25" style="1" hidden="1" customWidth="1" outlineLevel="1"/>
    <col min="16" max="16" width="6.25" style="1" hidden="1" customWidth="1" outlineLevel="1"/>
    <col min="17" max="17" width="7.5" style="1" bestFit="1" customWidth="1" collapsed="1"/>
    <col min="18" max="18" width="11.125" style="1" customWidth="1"/>
    <col min="19" max="19" width="10.75" style="1" customWidth="1"/>
    <col min="20" max="20" width="10.125" style="1" customWidth="1"/>
    <col min="21" max="21" width="9.625" style="1" bestFit="1" customWidth="1"/>
    <col min="22" max="22" width="9.5" style="1" bestFit="1" customWidth="1"/>
    <col min="23" max="23" width="12.125" style="1" customWidth="1"/>
    <col min="24" max="24" width="13.125" style="1" customWidth="1"/>
    <col min="29" max="29" width="10.625" style="19" customWidth="1"/>
    <col min="30" max="31" width="10.625" style="683" hidden="1" customWidth="1" outlineLevel="1"/>
    <col min="32" max="37" width="8.875" style="684" hidden="1" customWidth="1" outlineLevel="1"/>
    <col min="38" max="39" width="8.875" style="685" hidden="1" customWidth="1" outlineLevel="1"/>
    <col min="40" max="45" width="8.875" style="684" hidden="1" customWidth="1" outlineLevel="1"/>
    <col min="46" max="46" width="8.875" style="683" hidden="1" customWidth="1" outlineLevel="1"/>
    <col min="47" max="47" width="8.875" style="1" collapsed="1"/>
    <col min="48" max="16384" width="8.875" style="1"/>
  </cols>
  <sheetData>
    <row r="1" spans="1:46">
      <c r="A1" s="168"/>
      <c r="B1" s="168"/>
      <c r="C1" s="680" t="s">
        <v>0</v>
      </c>
      <c r="D1" s="168"/>
      <c r="F1" s="168"/>
      <c r="J1" s="1"/>
      <c r="K1" s="1"/>
    </row>
    <row r="2" spans="1:46">
      <c r="A2" s="43"/>
      <c r="B2" s="43"/>
      <c r="C2" s="35"/>
      <c r="D2" s="36"/>
      <c r="F2" s="43"/>
      <c r="J2" s="1"/>
      <c r="K2" s="1"/>
      <c r="N2" s="446"/>
      <c r="S2" s="308" t="s">
        <v>2009</v>
      </c>
      <c r="AF2" s="684" t="s">
        <v>1184</v>
      </c>
    </row>
    <row r="3" spans="1:46" ht="15.75" customHeight="1">
      <c r="A3" s="15" t="s">
        <v>482</v>
      </c>
      <c r="B3" s="15" t="s">
        <v>503</v>
      </c>
      <c r="C3" s="14" t="s">
        <v>230</v>
      </c>
      <c r="D3" s="15" t="s">
        <v>229</v>
      </c>
      <c r="E3" s="15" t="s">
        <v>1852</v>
      </c>
      <c r="F3" s="15" t="s">
        <v>1853</v>
      </c>
      <c r="G3" s="681" t="s">
        <v>1856</v>
      </c>
      <c r="H3" s="15" t="s">
        <v>584</v>
      </c>
      <c r="I3" s="15" t="s">
        <v>1854</v>
      </c>
      <c r="J3" s="15" t="s">
        <v>1707</v>
      </c>
      <c r="K3" s="721" t="s">
        <v>1855</v>
      </c>
      <c r="L3" s="15" t="s">
        <v>1672</v>
      </c>
      <c r="M3" s="15" t="s">
        <v>1673</v>
      </c>
      <c r="N3" s="15" t="s">
        <v>1674</v>
      </c>
      <c r="O3" s="15" t="s">
        <v>1675</v>
      </c>
      <c r="P3" s="15" t="s">
        <v>1676</v>
      </c>
      <c r="Q3" s="15" t="s">
        <v>1202</v>
      </c>
      <c r="R3" s="721" t="s">
        <v>1963</v>
      </c>
      <c r="S3" s="15" t="s">
        <v>1884</v>
      </c>
      <c r="T3" s="15" t="s">
        <v>1203</v>
      </c>
      <c r="U3" s="15" t="s">
        <v>554</v>
      </c>
      <c r="V3" s="766" t="s">
        <v>1949</v>
      </c>
      <c r="W3" s="766" t="s">
        <v>1950</v>
      </c>
      <c r="X3" s="766" t="s">
        <v>1951</v>
      </c>
      <c r="AD3" s="683" t="s">
        <v>1479</v>
      </c>
      <c r="AF3" s="684" t="s">
        <v>1677</v>
      </c>
      <c r="AG3" s="684" t="s">
        <v>1678</v>
      </c>
      <c r="AH3" s="684" t="s">
        <v>1679</v>
      </c>
      <c r="AI3" s="684" t="s">
        <v>1680</v>
      </c>
      <c r="AJ3" s="684" t="s">
        <v>1681</v>
      </c>
      <c r="AK3" s="684" t="s">
        <v>1682</v>
      </c>
      <c r="AL3" s="685" t="s">
        <v>1683</v>
      </c>
      <c r="AM3" s="685" t="s">
        <v>1684</v>
      </c>
      <c r="AN3" s="684" t="s">
        <v>1685</v>
      </c>
      <c r="AO3" s="684" t="s">
        <v>1686</v>
      </c>
      <c r="AP3" s="684" t="s">
        <v>1687</v>
      </c>
      <c r="AQ3" s="684" t="s">
        <v>1688</v>
      </c>
      <c r="AR3" s="684" t="s">
        <v>1653</v>
      </c>
      <c r="AS3" s="684" t="s">
        <v>1654</v>
      </c>
      <c r="AT3" s="683" t="s">
        <v>1473</v>
      </c>
    </row>
    <row r="4" spans="1:46">
      <c r="A4" s="1601" t="s">
        <v>1181</v>
      </c>
      <c r="B4" s="1601" t="s">
        <v>559</v>
      </c>
      <c r="C4" s="21">
        <v>1</v>
      </c>
      <c r="D4" s="20" t="s">
        <v>1</v>
      </c>
      <c r="E4" s="483"/>
      <c r="F4" s="643" t="s">
        <v>485</v>
      </c>
      <c r="G4" s="245" t="s">
        <v>1861</v>
      </c>
      <c r="H4" s="637">
        <v>9</v>
      </c>
      <c r="I4" s="5"/>
      <c r="J4" s="68">
        <f>IF(SUM(J6:J7)=0,"",J5*2/SUM(J6:J7))</f>
        <v>0.28212419813504397</v>
      </c>
      <c r="K4" s="68">
        <f>IF(SUM(K6:K7)=0,"",K5*2/SUM(K6:K7))</f>
        <v>0.19276940256839753</v>
      </c>
      <c r="L4" s="68">
        <f t="shared" ref="L4:P4" si="0">IF(SUM(L6:L7)=0,"",L5*2/SUM(L6:L7))</f>
        <v>0.19474677115077638</v>
      </c>
      <c r="M4" s="68">
        <f t="shared" si="0"/>
        <v>0.19642857142857142</v>
      </c>
      <c r="N4" s="68">
        <f t="shared" si="0"/>
        <v>0.15625</v>
      </c>
      <c r="O4" s="68">
        <f t="shared" si="0"/>
        <v>9.3023255813953487E-2</v>
      </c>
      <c r="P4" s="68">
        <f t="shared" si="0"/>
        <v>8.8888888888888892E-2</v>
      </c>
      <c r="Q4" s="678">
        <f t="shared" ref="Q4:Q23" si="1">IF(AND(J4=0,K4&lt;&gt;0),1,IF(AND(J4=0,K4=0),0,K4/J4-1))</f>
        <v>-0.31672148705186609</v>
      </c>
      <c r="R4" s="245" t="str">
        <f>G4</f>
        <v>行业排序评分</v>
      </c>
      <c r="S4" s="245" t="str">
        <f>G4</f>
        <v>行业排序评分</v>
      </c>
      <c r="T4" s="245" t="str">
        <f>"行业排序评分"</f>
        <v>行业排序评分</v>
      </c>
      <c r="U4" s="579">
        <f>9</f>
        <v>9</v>
      </c>
      <c r="V4" s="579">
        <f>U4*0.3</f>
        <v>2.6999999999999997</v>
      </c>
      <c r="W4" s="579">
        <f>V4/9</f>
        <v>0.3</v>
      </c>
      <c r="X4" s="579">
        <f>W4/2</f>
        <v>0.15</v>
      </c>
      <c r="AC4" s="394"/>
      <c r="AD4" s="684">
        <f>H4*(1-J4)</f>
        <v>6.4608822167846043</v>
      </c>
      <c r="AE4" s="686" t="s">
        <v>1640</v>
      </c>
      <c r="AF4" s="684">
        <v>0</v>
      </c>
      <c r="AH4" s="687">
        <v>1</v>
      </c>
      <c r="AI4" s="687">
        <v>7.5289036544850489</v>
      </c>
      <c r="AJ4" s="687">
        <v>1</v>
      </c>
      <c r="AK4" s="687">
        <v>8.3394495412844041</v>
      </c>
      <c r="AL4" s="688">
        <v>1</v>
      </c>
      <c r="AM4" s="688">
        <v>6.8951612903225801</v>
      </c>
      <c r="AN4" s="687">
        <v>1</v>
      </c>
      <c r="AO4" s="687">
        <v>9</v>
      </c>
      <c r="AP4" s="687">
        <v>1</v>
      </c>
      <c r="AQ4" s="687">
        <v>8.8582677165354333</v>
      </c>
      <c r="AR4" s="687">
        <v>0</v>
      </c>
      <c r="AS4" s="687"/>
      <c r="AT4" s="685">
        <f>SUM(AF4:AR4)</f>
        <v>45.621782202627472</v>
      </c>
    </row>
    <row r="5" spans="1:46">
      <c r="A5" s="1602"/>
      <c r="B5" s="1602"/>
      <c r="C5" s="22"/>
      <c r="D5" s="480" t="s">
        <v>2</v>
      </c>
      <c r="E5" s="483" t="s">
        <v>541</v>
      </c>
      <c r="F5" s="643"/>
      <c r="G5" s="401"/>
      <c r="H5" s="73"/>
      <c r="I5" s="5" t="s">
        <v>734</v>
      </c>
      <c r="J5" s="634">
        <v>2133</v>
      </c>
      <c r="K5" s="634">
        <v>1381</v>
      </c>
      <c r="L5" s="1055">
        <v>1342</v>
      </c>
      <c r="M5" s="1055">
        <v>11</v>
      </c>
      <c r="N5" s="1055">
        <v>20</v>
      </c>
      <c r="O5" s="1055">
        <v>2</v>
      </c>
      <c r="P5" s="1055">
        <v>6</v>
      </c>
      <c r="Q5" s="678">
        <f t="shared" si="1"/>
        <v>-0.35255508673230196</v>
      </c>
      <c r="R5" s="73"/>
      <c r="S5" s="73"/>
      <c r="T5" s="512">
        <f t="shared" ref="T5:T10" si="2">R5-S5</f>
        <v>0</v>
      </c>
      <c r="U5" s="579">
        <f t="shared" ref="U5:U10" si="3">H5-R5</f>
        <v>0</v>
      </c>
      <c r="V5" s="579">
        <f t="shared" ref="V5:V36" si="4">U5*0.3</f>
        <v>0</v>
      </c>
      <c r="W5" s="579">
        <f t="shared" ref="W5:W41" si="5">V5/9</f>
        <v>0</v>
      </c>
      <c r="X5" s="579">
        <f t="shared" ref="X5:X41" si="6">W5/2</f>
        <v>0</v>
      </c>
      <c r="AC5" s="394"/>
      <c r="AD5" s="684">
        <f t="shared" ref="AD5:AD10" si="7">S5</f>
        <v>0</v>
      </c>
      <c r="AE5" s="684"/>
      <c r="AF5" s="684">
        <v>0</v>
      </c>
      <c r="AH5" s="684">
        <v>0</v>
      </c>
      <c r="AJ5" s="684">
        <v>0</v>
      </c>
      <c r="AL5" s="685">
        <v>0</v>
      </c>
      <c r="AN5" s="684">
        <v>0</v>
      </c>
      <c r="AP5" s="684">
        <v>0</v>
      </c>
      <c r="AR5" s="684">
        <v>0</v>
      </c>
      <c r="AT5" s="685">
        <f t="shared" ref="AT5:AT36" si="8">SUM(AF5:AR5)</f>
        <v>0</v>
      </c>
    </row>
    <row r="6" spans="1:46">
      <c r="A6" s="1602"/>
      <c r="B6" s="1602"/>
      <c r="C6" s="22"/>
      <c r="D6" s="480" t="s">
        <v>231</v>
      </c>
      <c r="E6" s="483" t="s">
        <v>541</v>
      </c>
      <c r="F6" s="643"/>
      <c r="G6" s="401"/>
      <c r="H6" s="73"/>
      <c r="I6" s="5" t="s">
        <v>734</v>
      </c>
      <c r="J6" s="634">
        <v>8002</v>
      </c>
      <c r="K6" s="634">
        <v>7119</v>
      </c>
      <c r="L6" s="1055">
        <v>6861</v>
      </c>
      <c r="M6" s="1055">
        <v>56</v>
      </c>
      <c r="N6" s="1055">
        <v>116</v>
      </c>
      <c r="O6" s="1055">
        <v>19</v>
      </c>
      <c r="P6" s="1055">
        <v>67</v>
      </c>
      <c r="Q6" s="678">
        <f t="shared" si="1"/>
        <v>-0.11034741314671337</v>
      </c>
      <c r="R6" s="73"/>
      <c r="S6" s="73"/>
      <c r="T6" s="512">
        <f t="shared" si="2"/>
        <v>0</v>
      </c>
      <c r="U6" s="579">
        <f t="shared" si="3"/>
        <v>0</v>
      </c>
      <c r="V6" s="579">
        <f t="shared" si="4"/>
        <v>0</v>
      </c>
      <c r="W6" s="579">
        <f t="shared" si="5"/>
        <v>0</v>
      </c>
      <c r="X6" s="579">
        <f t="shared" si="6"/>
        <v>0</v>
      </c>
      <c r="AC6" s="394"/>
      <c r="AD6" s="684">
        <f t="shared" si="7"/>
        <v>0</v>
      </c>
      <c r="AE6" s="684"/>
      <c r="AF6" s="684">
        <v>0</v>
      </c>
      <c r="AH6" s="684">
        <v>0</v>
      </c>
      <c r="AJ6" s="684">
        <v>0</v>
      </c>
      <c r="AL6" s="685">
        <v>0</v>
      </c>
      <c r="AN6" s="684">
        <v>0</v>
      </c>
      <c r="AP6" s="684">
        <v>0</v>
      </c>
      <c r="AR6" s="684">
        <v>0</v>
      </c>
      <c r="AT6" s="685">
        <f t="shared" si="8"/>
        <v>0</v>
      </c>
    </row>
    <row r="7" spans="1:46">
      <c r="A7" s="1603"/>
      <c r="B7" s="1603"/>
      <c r="C7" s="22"/>
      <c r="D7" s="480" t="s">
        <v>236</v>
      </c>
      <c r="E7" s="483" t="s">
        <v>541</v>
      </c>
      <c r="F7" s="643"/>
      <c r="G7" s="401"/>
      <c r="H7" s="73"/>
      <c r="I7" s="5" t="s">
        <v>734</v>
      </c>
      <c r="J7" s="634">
        <v>7119</v>
      </c>
      <c r="K7" s="634">
        <v>7209</v>
      </c>
      <c r="L7" s="1055">
        <v>6921</v>
      </c>
      <c r="M7" s="1055">
        <v>56</v>
      </c>
      <c r="N7" s="1055">
        <v>140</v>
      </c>
      <c r="O7" s="1055">
        <v>24</v>
      </c>
      <c r="P7" s="1055">
        <v>68</v>
      </c>
      <c r="Q7" s="678">
        <f t="shared" si="1"/>
        <v>1.2642225031605614E-2</v>
      </c>
      <c r="R7" s="73"/>
      <c r="S7" s="73"/>
      <c r="T7" s="512">
        <f t="shared" si="2"/>
        <v>0</v>
      </c>
      <c r="U7" s="579">
        <f t="shared" si="3"/>
        <v>0</v>
      </c>
      <c r="V7" s="579">
        <f t="shared" si="4"/>
        <v>0</v>
      </c>
      <c r="W7" s="579">
        <f t="shared" si="5"/>
        <v>0</v>
      </c>
      <c r="X7" s="579">
        <f t="shared" si="6"/>
        <v>0</v>
      </c>
      <c r="AC7" s="394"/>
      <c r="AD7" s="684">
        <f t="shared" si="7"/>
        <v>0</v>
      </c>
      <c r="AE7" s="684"/>
      <c r="AF7" s="684">
        <v>0</v>
      </c>
      <c r="AH7" s="684">
        <v>0</v>
      </c>
      <c r="AJ7" s="684">
        <v>0</v>
      </c>
      <c r="AL7" s="685">
        <v>0</v>
      </c>
      <c r="AN7" s="684">
        <v>0</v>
      </c>
      <c r="AP7" s="684">
        <v>0</v>
      </c>
      <c r="AR7" s="684">
        <v>0</v>
      </c>
      <c r="AT7" s="685">
        <f t="shared" si="8"/>
        <v>0</v>
      </c>
    </row>
    <row r="8" spans="1:46" s="2" customFormat="1">
      <c r="A8" s="1601" t="s">
        <v>289</v>
      </c>
      <c r="B8" s="1601" t="s">
        <v>290</v>
      </c>
      <c r="C8" s="21">
        <v>2</v>
      </c>
      <c r="D8" s="479" t="s">
        <v>1795</v>
      </c>
      <c r="E8" s="483"/>
      <c r="F8" s="643" t="s">
        <v>487</v>
      </c>
      <c r="G8" s="5" t="s">
        <v>1862</v>
      </c>
      <c r="H8" s="637">
        <v>6</v>
      </c>
      <c r="I8" s="5"/>
      <c r="J8" s="68">
        <f>IF(J9=0,"",J10/J9)</f>
        <v>1</v>
      </c>
      <c r="K8" s="68">
        <f>IF(K9=0,"",K10/K9)</f>
        <v>1</v>
      </c>
      <c r="L8" s="1055"/>
      <c r="M8" s="1055"/>
      <c r="N8" s="1055"/>
      <c r="O8" s="1055"/>
      <c r="P8" s="1055"/>
      <c r="Q8" s="678">
        <f t="shared" si="1"/>
        <v>0</v>
      </c>
      <c r="R8" s="639">
        <f>IF(K8=1,6,"行业水平得分")</f>
        <v>6</v>
      </c>
      <c r="S8" s="639">
        <f>IF(J8=1,6,"行业水平得分")</f>
        <v>6</v>
      </c>
      <c r="T8" s="512">
        <f t="shared" si="2"/>
        <v>0</v>
      </c>
      <c r="U8" s="579">
        <f t="shared" si="3"/>
        <v>0</v>
      </c>
      <c r="V8" s="579">
        <f t="shared" si="4"/>
        <v>0</v>
      </c>
      <c r="W8" s="579">
        <f t="shared" si="5"/>
        <v>0</v>
      </c>
      <c r="X8" s="579">
        <f t="shared" si="6"/>
        <v>0</v>
      </c>
      <c r="AC8" s="394"/>
      <c r="AD8" s="684">
        <f t="shared" si="7"/>
        <v>6</v>
      </c>
      <c r="AE8" s="684"/>
      <c r="AF8" s="583">
        <v>0.5</v>
      </c>
      <c r="AG8" s="583">
        <f>$R8</f>
        <v>6</v>
      </c>
      <c r="AH8" s="583">
        <v>0</v>
      </c>
      <c r="AI8" s="583"/>
      <c r="AJ8" s="583">
        <v>0</v>
      </c>
      <c r="AK8" s="583"/>
      <c r="AL8" s="583">
        <v>0</v>
      </c>
      <c r="AM8" s="583"/>
      <c r="AN8" s="583">
        <v>0</v>
      </c>
      <c r="AO8" s="583"/>
      <c r="AP8" s="583">
        <v>0</v>
      </c>
      <c r="AQ8" s="583"/>
      <c r="AR8" s="583">
        <v>0</v>
      </c>
      <c r="AS8" s="583"/>
      <c r="AT8" s="685">
        <f t="shared" si="8"/>
        <v>6.5</v>
      </c>
    </row>
    <row r="9" spans="1:46" s="2" customFormat="1" ht="15.6" customHeight="1">
      <c r="A9" s="1602"/>
      <c r="B9" s="1602"/>
      <c r="C9" s="22"/>
      <c r="D9" s="481" t="s">
        <v>1794</v>
      </c>
      <c r="E9" s="483" t="s">
        <v>256</v>
      </c>
      <c r="F9" s="643"/>
      <c r="G9" s="5"/>
      <c r="H9" s="74"/>
      <c r="I9" s="5" t="s">
        <v>272</v>
      </c>
      <c r="J9" s="634">
        <v>8</v>
      </c>
      <c r="K9" s="634">
        <v>8</v>
      </c>
      <c r="L9" s="1055"/>
      <c r="M9" s="1055">
        <v>2</v>
      </c>
      <c r="N9" s="1055"/>
      <c r="O9" s="1055"/>
      <c r="P9" s="1055"/>
      <c r="Q9" s="678">
        <f t="shared" si="1"/>
        <v>0</v>
      </c>
      <c r="R9" s="74"/>
      <c r="S9" s="74"/>
      <c r="T9" s="512">
        <f t="shared" si="2"/>
        <v>0</v>
      </c>
      <c r="U9" s="579">
        <f t="shared" si="3"/>
        <v>0</v>
      </c>
      <c r="V9" s="579">
        <f t="shared" si="4"/>
        <v>0</v>
      </c>
      <c r="W9" s="579">
        <f t="shared" si="5"/>
        <v>0</v>
      </c>
      <c r="X9" s="579">
        <f t="shared" si="6"/>
        <v>0</v>
      </c>
      <c r="AC9" s="394"/>
      <c r="AD9" s="684">
        <f t="shared" si="7"/>
        <v>0</v>
      </c>
      <c r="AE9" s="684"/>
      <c r="AF9" s="583">
        <v>0</v>
      </c>
      <c r="AG9" s="583"/>
      <c r="AH9" s="583">
        <v>0</v>
      </c>
      <c r="AI9" s="583"/>
      <c r="AJ9" s="583">
        <v>0</v>
      </c>
      <c r="AK9" s="583"/>
      <c r="AL9" s="689">
        <v>0</v>
      </c>
      <c r="AM9" s="689"/>
      <c r="AN9" s="583">
        <v>0</v>
      </c>
      <c r="AO9" s="583"/>
      <c r="AP9" s="583">
        <v>0</v>
      </c>
      <c r="AQ9" s="583"/>
      <c r="AR9" s="583">
        <v>0</v>
      </c>
      <c r="AS9" s="583"/>
      <c r="AT9" s="685">
        <f t="shared" si="8"/>
        <v>0</v>
      </c>
    </row>
    <row r="10" spans="1:46" s="2" customFormat="1" ht="15.6" customHeight="1">
      <c r="A10" s="1603"/>
      <c r="B10" s="1603"/>
      <c r="C10" s="22"/>
      <c r="D10" s="481" t="s">
        <v>1796</v>
      </c>
      <c r="E10" s="483" t="s">
        <v>256</v>
      </c>
      <c r="F10" s="643"/>
      <c r="G10" s="5"/>
      <c r="H10" s="74"/>
      <c r="I10" s="5" t="s">
        <v>272</v>
      </c>
      <c r="J10" s="634">
        <v>8</v>
      </c>
      <c r="K10" s="634">
        <v>8</v>
      </c>
      <c r="L10" s="1055"/>
      <c r="M10" s="1055">
        <v>2</v>
      </c>
      <c r="N10" s="1055"/>
      <c r="O10" s="1055"/>
      <c r="P10" s="1055"/>
      <c r="Q10" s="678">
        <f t="shared" si="1"/>
        <v>0</v>
      </c>
      <c r="R10" s="74"/>
      <c r="S10" s="74"/>
      <c r="T10" s="512">
        <f t="shared" si="2"/>
        <v>0</v>
      </c>
      <c r="U10" s="579">
        <f t="shared" si="3"/>
        <v>0</v>
      </c>
      <c r="V10" s="579">
        <f t="shared" si="4"/>
        <v>0</v>
      </c>
      <c r="W10" s="579">
        <f t="shared" si="5"/>
        <v>0</v>
      </c>
      <c r="X10" s="579">
        <f t="shared" si="6"/>
        <v>0</v>
      </c>
      <c r="AC10" s="394"/>
      <c r="AD10" s="684">
        <f t="shared" si="7"/>
        <v>0</v>
      </c>
      <c r="AE10" s="684"/>
      <c r="AF10" s="583">
        <v>0</v>
      </c>
      <c r="AG10" s="583"/>
      <c r="AH10" s="583">
        <v>0</v>
      </c>
      <c r="AI10" s="583"/>
      <c r="AJ10" s="583">
        <v>0</v>
      </c>
      <c r="AK10" s="583"/>
      <c r="AL10" s="689">
        <v>0</v>
      </c>
      <c r="AM10" s="689"/>
      <c r="AN10" s="583">
        <v>0</v>
      </c>
      <c r="AO10" s="583"/>
      <c r="AP10" s="583">
        <v>0</v>
      </c>
      <c r="AQ10" s="583"/>
      <c r="AR10" s="583">
        <v>0</v>
      </c>
      <c r="AS10" s="583"/>
      <c r="AT10" s="685">
        <f t="shared" si="8"/>
        <v>0</v>
      </c>
    </row>
    <row r="11" spans="1:46" s="2" customFormat="1" ht="15.6" customHeight="1">
      <c r="A11" s="1601" t="s">
        <v>291</v>
      </c>
      <c r="B11" s="1601" t="s">
        <v>555</v>
      </c>
      <c r="C11" s="21">
        <v>3</v>
      </c>
      <c r="D11" s="23" t="s">
        <v>3</v>
      </c>
      <c r="E11" s="483"/>
      <c r="F11" s="643" t="s">
        <v>487</v>
      </c>
      <c r="G11" s="5" t="s">
        <v>1860</v>
      </c>
      <c r="H11" s="637">
        <v>7</v>
      </c>
      <c r="I11" s="5"/>
      <c r="J11" s="68">
        <f>IF(J12=0,"",J13/J12)</f>
        <v>0.838881865430538</v>
      </c>
      <c r="K11" s="68">
        <f>IF(K12=0,"",K13/K12)</f>
        <v>0.79678180052711889</v>
      </c>
      <c r="L11" s="68">
        <f t="shared" ref="L11:P11" si="9">IF(L12=0,"",L13/L12)</f>
        <v>0.79468284929923416</v>
      </c>
      <c r="M11" s="68">
        <f t="shared" si="9"/>
        <v>0.9464285714285714</v>
      </c>
      <c r="N11" s="68">
        <f t="shared" si="9"/>
        <v>0.73571428571428577</v>
      </c>
      <c r="O11" s="68">
        <f t="shared" si="9"/>
        <v>1</v>
      </c>
      <c r="P11" s="68">
        <f t="shared" si="9"/>
        <v>0.94117647058823528</v>
      </c>
      <c r="Q11" s="678">
        <f t="shared" si="1"/>
        <v>-5.0185928005264668E-2</v>
      </c>
      <c r="R11" s="245" t="str">
        <f>G11</f>
        <v>行业排序评分</v>
      </c>
      <c r="S11" s="245" t="str">
        <f>G11</f>
        <v>行业排序评分</v>
      </c>
      <c r="T11" s="245" t="str">
        <f>"行业排序评分"</f>
        <v>行业排序评分</v>
      </c>
      <c r="U11" s="579">
        <f>7</f>
        <v>7</v>
      </c>
      <c r="V11" s="579">
        <f t="shared" si="4"/>
        <v>2.1</v>
      </c>
      <c r="W11" s="579">
        <f t="shared" si="5"/>
        <v>0.23333333333333334</v>
      </c>
      <c r="X11" s="579">
        <f t="shared" si="6"/>
        <v>0.11666666666666667</v>
      </c>
      <c r="AC11" s="394"/>
      <c r="AD11" s="684">
        <f>H11*J11</f>
        <v>5.8721730580137663</v>
      </c>
      <c r="AE11" s="686" t="s">
        <v>1640</v>
      </c>
      <c r="AF11" s="583">
        <v>0</v>
      </c>
      <c r="AG11" s="583"/>
      <c r="AH11" s="687">
        <v>1</v>
      </c>
      <c r="AI11" s="687">
        <v>5.8124083474337276</v>
      </c>
      <c r="AJ11" s="583">
        <v>1</v>
      </c>
      <c r="AK11" s="583">
        <v>7</v>
      </c>
      <c r="AL11" s="688">
        <v>1</v>
      </c>
      <c r="AM11" s="688">
        <v>4.7833333333333332</v>
      </c>
      <c r="AN11" s="687">
        <v>1</v>
      </c>
      <c r="AO11" s="687">
        <v>7</v>
      </c>
      <c r="AP11" s="687">
        <v>1</v>
      </c>
      <c r="AQ11" s="687">
        <v>6.4776119402985071</v>
      </c>
      <c r="AR11" s="687">
        <v>0</v>
      </c>
      <c r="AS11" s="687"/>
      <c r="AT11" s="685">
        <f t="shared" si="8"/>
        <v>36.073353621065571</v>
      </c>
    </row>
    <row r="12" spans="1:46" s="2" customFormat="1" ht="15.6" customHeight="1">
      <c r="A12" s="1602"/>
      <c r="B12" s="1602"/>
      <c r="C12" s="22"/>
      <c r="D12" s="480" t="s">
        <v>4</v>
      </c>
      <c r="E12" s="483" t="s">
        <v>541</v>
      </c>
      <c r="F12" s="643"/>
      <c r="G12" s="5"/>
      <c r="H12" s="74"/>
      <c r="I12" s="5" t="s">
        <v>734</v>
      </c>
      <c r="J12" s="634">
        <v>7119</v>
      </c>
      <c r="K12" s="634">
        <v>7209</v>
      </c>
      <c r="L12" s="1055">
        <v>6921</v>
      </c>
      <c r="M12" s="1055">
        <v>56</v>
      </c>
      <c r="N12" s="1055">
        <v>140</v>
      </c>
      <c r="O12" s="1055">
        <v>24</v>
      </c>
      <c r="P12" s="1055">
        <v>68</v>
      </c>
      <c r="Q12" s="678">
        <f t="shared" si="1"/>
        <v>1.2642225031605614E-2</v>
      </c>
      <c r="R12" s="74"/>
      <c r="S12" s="74"/>
      <c r="T12" s="512">
        <f>R12-S12</f>
        <v>0</v>
      </c>
      <c r="U12" s="579">
        <f>H12-R12</f>
        <v>0</v>
      </c>
      <c r="V12" s="579">
        <f t="shared" si="4"/>
        <v>0</v>
      </c>
      <c r="W12" s="579">
        <f t="shared" si="5"/>
        <v>0</v>
      </c>
      <c r="X12" s="579">
        <f t="shared" si="6"/>
        <v>0</v>
      </c>
      <c r="AC12" s="394"/>
      <c r="AD12" s="684">
        <f t="shared" ref="AD12:AD37" si="10">S12</f>
        <v>0</v>
      </c>
      <c r="AE12" s="684"/>
      <c r="AF12" s="583">
        <v>0</v>
      </c>
      <c r="AG12" s="583"/>
      <c r="AH12" s="583">
        <v>0</v>
      </c>
      <c r="AI12" s="583"/>
      <c r="AJ12" s="583">
        <v>0</v>
      </c>
      <c r="AK12" s="583"/>
      <c r="AL12" s="689">
        <v>0</v>
      </c>
      <c r="AM12" s="689"/>
      <c r="AN12" s="583">
        <v>0</v>
      </c>
      <c r="AO12" s="583"/>
      <c r="AP12" s="583">
        <v>0</v>
      </c>
      <c r="AQ12" s="583"/>
      <c r="AR12" s="583">
        <v>0</v>
      </c>
      <c r="AS12" s="583"/>
      <c r="AT12" s="685">
        <f t="shared" si="8"/>
        <v>0</v>
      </c>
    </row>
    <row r="13" spans="1:46" s="2" customFormat="1" ht="15.6" customHeight="1">
      <c r="A13" s="1603"/>
      <c r="B13" s="1603"/>
      <c r="C13" s="22"/>
      <c r="D13" s="480" t="s">
        <v>5</v>
      </c>
      <c r="E13" s="483" t="s">
        <v>541</v>
      </c>
      <c r="F13" s="643"/>
      <c r="G13" s="5"/>
      <c r="H13" s="74"/>
      <c r="I13" s="5" t="s">
        <v>734</v>
      </c>
      <c r="J13" s="634">
        <v>5972</v>
      </c>
      <c r="K13" s="634">
        <v>5744</v>
      </c>
      <c r="L13" s="1055">
        <v>5500</v>
      </c>
      <c r="M13" s="1055">
        <v>53</v>
      </c>
      <c r="N13" s="1055">
        <v>103</v>
      </c>
      <c r="O13" s="1055">
        <v>24</v>
      </c>
      <c r="P13" s="1055">
        <v>64</v>
      </c>
      <c r="Q13" s="678">
        <f t="shared" si="1"/>
        <v>-3.8178164768921663E-2</v>
      </c>
      <c r="R13" s="74"/>
      <c r="S13" s="74"/>
      <c r="T13" s="512">
        <f>R13-S13</f>
        <v>0</v>
      </c>
      <c r="U13" s="579">
        <f>H13-R13</f>
        <v>0</v>
      </c>
      <c r="V13" s="579">
        <f t="shared" si="4"/>
        <v>0</v>
      </c>
      <c r="W13" s="579">
        <f t="shared" si="5"/>
        <v>0</v>
      </c>
      <c r="X13" s="579">
        <f t="shared" si="6"/>
        <v>0</v>
      </c>
      <c r="AC13" s="394"/>
      <c r="AD13" s="684">
        <f t="shared" si="10"/>
        <v>0</v>
      </c>
      <c r="AE13" s="684"/>
      <c r="AF13" s="583">
        <v>0</v>
      </c>
      <c r="AG13" s="583"/>
      <c r="AH13" s="583">
        <v>0</v>
      </c>
      <c r="AI13" s="583"/>
      <c r="AJ13" s="583">
        <v>0</v>
      </c>
      <c r="AK13" s="583"/>
      <c r="AL13" s="689">
        <v>0</v>
      </c>
      <c r="AM13" s="689"/>
      <c r="AN13" s="583">
        <v>0</v>
      </c>
      <c r="AO13" s="583"/>
      <c r="AP13" s="583">
        <v>0</v>
      </c>
      <c r="AQ13" s="583"/>
      <c r="AR13" s="583">
        <v>0</v>
      </c>
      <c r="AS13" s="583"/>
      <c r="AT13" s="685">
        <f t="shared" si="8"/>
        <v>0</v>
      </c>
    </row>
    <row r="14" spans="1:46" s="2" customFormat="1" ht="39.75" customHeight="1">
      <c r="A14" s="1601" t="s">
        <v>560</v>
      </c>
      <c r="B14" s="1601" t="s">
        <v>524</v>
      </c>
      <c r="C14" s="21">
        <v>4</v>
      </c>
      <c r="D14" s="20" t="s">
        <v>2079</v>
      </c>
      <c r="E14" s="483" t="s">
        <v>541</v>
      </c>
      <c r="F14" s="643" t="s">
        <v>484</v>
      </c>
      <c r="G14" s="1611" t="s">
        <v>1862</v>
      </c>
      <c r="H14" s="1658">
        <v>8</v>
      </c>
      <c r="I14" s="5" t="s">
        <v>735</v>
      </c>
      <c r="J14" s="1054">
        <v>4</v>
      </c>
      <c r="K14" s="1054">
        <v>4</v>
      </c>
      <c r="L14" s="1054">
        <v>4</v>
      </c>
      <c r="M14" s="1055"/>
      <c r="N14" s="1055"/>
      <c r="O14" s="1055">
        <v>0</v>
      </c>
      <c r="P14" s="1055">
        <v>0</v>
      </c>
      <c r="Q14" s="678">
        <f t="shared" si="1"/>
        <v>0</v>
      </c>
      <c r="R14" s="1660" t="str">
        <f>IF(K14=0,8,"行业水平得分")</f>
        <v>行业水平得分</v>
      </c>
      <c r="S14" s="1660" t="str">
        <f>IF(J14=0,8,"行业水平得分")</f>
        <v>行业水平得分</v>
      </c>
      <c r="T14" s="1660">
        <f>IF(Q14=0,8,"行业水平得分")</f>
        <v>8</v>
      </c>
      <c r="U14" s="1663">
        <v>8</v>
      </c>
      <c r="V14" s="1616">
        <f t="shared" si="4"/>
        <v>2.4</v>
      </c>
      <c r="W14" s="1616">
        <f t="shared" si="5"/>
        <v>0.26666666666666666</v>
      </c>
      <c r="X14" s="1616">
        <f t="shared" si="6"/>
        <v>0.13333333333333333</v>
      </c>
      <c r="AC14" s="394"/>
      <c r="AD14" s="684" t="str">
        <f t="shared" si="10"/>
        <v>行业水平得分</v>
      </c>
      <c r="AE14" s="684"/>
      <c r="AF14" s="583">
        <v>0</v>
      </c>
      <c r="AG14" s="583"/>
      <c r="AH14" s="687">
        <v>1</v>
      </c>
      <c r="AI14" s="687" t="str">
        <f>$R14</f>
        <v>行业水平得分</v>
      </c>
      <c r="AJ14" s="583">
        <v>1</v>
      </c>
      <c r="AK14" s="687" t="str">
        <f>$R14</f>
        <v>行业水平得分</v>
      </c>
      <c r="AL14" s="688">
        <v>1</v>
      </c>
      <c r="AM14" s="687" t="str">
        <f>$R14</f>
        <v>行业水平得分</v>
      </c>
      <c r="AN14" s="688">
        <v>1</v>
      </c>
      <c r="AO14" s="687" t="str">
        <f>$R14</f>
        <v>行业水平得分</v>
      </c>
      <c r="AP14" s="687">
        <v>1</v>
      </c>
      <c r="AQ14" s="687" t="str">
        <f>$R14</f>
        <v>行业水平得分</v>
      </c>
      <c r="AR14" s="687">
        <v>0</v>
      </c>
      <c r="AS14" s="687"/>
      <c r="AT14" s="685">
        <f t="shared" si="8"/>
        <v>5</v>
      </c>
    </row>
    <row r="15" spans="1:46" s="2" customFormat="1" ht="34.5" customHeight="1">
      <c r="A15" s="1603"/>
      <c r="B15" s="1603"/>
      <c r="C15" s="13">
        <v>5</v>
      </c>
      <c r="D15" s="20" t="s">
        <v>6</v>
      </c>
      <c r="E15" s="483" t="s">
        <v>1053</v>
      </c>
      <c r="F15" s="643" t="s">
        <v>484</v>
      </c>
      <c r="G15" s="1612"/>
      <c r="H15" s="1658"/>
      <c r="I15" s="5" t="s">
        <v>740</v>
      </c>
      <c r="J15" s="66">
        <v>1020815605.5700001</v>
      </c>
      <c r="K15" s="66">
        <v>892062784.09999979</v>
      </c>
      <c r="L15" s="5"/>
      <c r="M15" s="5"/>
      <c r="N15" s="5"/>
      <c r="O15" s="5"/>
      <c r="P15" s="5"/>
      <c r="Q15" s="678">
        <f t="shared" si="1"/>
        <v>-0.12612740319355487</v>
      </c>
      <c r="R15" s="1660"/>
      <c r="S15" s="1660"/>
      <c r="T15" s="1660"/>
      <c r="U15" s="1664"/>
      <c r="V15" s="1618"/>
      <c r="W15" s="1618"/>
      <c r="X15" s="1618"/>
      <c r="AC15" s="394"/>
      <c r="AD15" s="684">
        <f t="shared" si="10"/>
        <v>0</v>
      </c>
      <c r="AE15" s="684"/>
      <c r="AF15" s="583">
        <v>0</v>
      </c>
      <c r="AG15" s="583"/>
      <c r="AH15" s="583">
        <v>0</v>
      </c>
      <c r="AI15" s="583"/>
      <c r="AJ15" s="583">
        <v>1</v>
      </c>
      <c r="AK15" s="583"/>
      <c r="AL15" s="583">
        <v>0</v>
      </c>
      <c r="AM15" s="583"/>
      <c r="AN15" s="687">
        <v>0</v>
      </c>
      <c r="AO15" s="687"/>
      <c r="AP15" s="583">
        <v>0</v>
      </c>
      <c r="AQ15" s="583"/>
      <c r="AR15" s="583">
        <v>0</v>
      </c>
      <c r="AS15" s="583"/>
      <c r="AT15" s="685">
        <f t="shared" si="8"/>
        <v>1</v>
      </c>
    </row>
    <row r="16" spans="1:46" s="2" customFormat="1" ht="15.6" customHeight="1">
      <c r="A16" s="1601" t="s">
        <v>2096</v>
      </c>
      <c r="B16" s="1601" t="s">
        <v>2097</v>
      </c>
      <c r="C16" s="21">
        <v>6</v>
      </c>
      <c r="D16" s="990" t="s">
        <v>2082</v>
      </c>
      <c r="E16" s="483"/>
      <c r="F16" s="643" t="s">
        <v>485</v>
      </c>
      <c r="G16" s="5" t="s">
        <v>1858</v>
      </c>
      <c r="H16" s="637">
        <v>7</v>
      </c>
      <c r="I16" s="5"/>
      <c r="J16" s="68">
        <f>IF(J18=0,"",J17/J18)</f>
        <v>0.9750973428608104</v>
      </c>
      <c r="K16" s="68">
        <f>IF(K18=0,"",K17/K18)</f>
        <v>0.97745456901298955</v>
      </c>
      <c r="L16" s="68">
        <f t="shared" ref="L16:P16" si="11">IF(L18=0,"",L17/L18)</f>
        <v>0.98233349078885213</v>
      </c>
      <c r="M16" s="68">
        <f t="shared" si="11"/>
        <v>0.91935483870967738</v>
      </c>
      <c r="N16" s="68">
        <f t="shared" si="11"/>
        <v>0.97516656571774685</v>
      </c>
      <c r="O16" s="68">
        <f t="shared" si="11"/>
        <v>0.9642857142857143</v>
      </c>
      <c r="P16" s="68">
        <f t="shared" si="11"/>
        <v>0.989247311827957</v>
      </c>
      <c r="Q16" s="678">
        <f t="shared" si="1"/>
        <v>2.4174264953520375E-3</v>
      </c>
      <c r="R16" s="468">
        <f>70*K16-63</f>
        <v>5.4218198309092713</v>
      </c>
      <c r="S16" s="468">
        <f>70*J16-63</f>
        <v>5.2568140002567247</v>
      </c>
      <c r="T16" s="512">
        <f>R16-S16</f>
        <v>0.16500583065254659</v>
      </c>
      <c r="U16" s="64">
        <f>H16-R16</f>
        <v>1.5781801690907287</v>
      </c>
      <c r="V16" s="579">
        <f t="shared" si="4"/>
        <v>0.47345405072721858</v>
      </c>
      <c r="W16" s="579">
        <f t="shared" si="5"/>
        <v>5.2606005636357617E-2</v>
      </c>
      <c r="X16" s="1049">
        <f t="shared" si="6"/>
        <v>2.6303002818178808E-2</v>
      </c>
      <c r="AC16" s="394"/>
      <c r="AD16" s="684">
        <f t="shared" si="10"/>
        <v>5.2568140002567247</v>
      </c>
      <c r="AE16" s="686" t="s">
        <v>1640</v>
      </c>
      <c r="AF16" s="690">
        <v>1</v>
      </c>
      <c r="AG16" s="583">
        <f>$R16</f>
        <v>5.4218198309092713</v>
      </c>
      <c r="AH16" s="687">
        <v>1</v>
      </c>
      <c r="AI16" s="687">
        <v>5.9884088514225482</v>
      </c>
      <c r="AJ16" s="583">
        <v>0</v>
      </c>
      <c r="AK16" s="583">
        <v>4.5862068965517295</v>
      </c>
      <c r="AL16" s="688">
        <v>1</v>
      </c>
      <c r="AM16" s="688">
        <v>4.1048744460856739</v>
      </c>
      <c r="AN16" s="688">
        <v>1</v>
      </c>
      <c r="AO16" s="688">
        <v>4.4384404924760616</v>
      </c>
      <c r="AP16" s="687">
        <v>1</v>
      </c>
      <c r="AQ16" s="687">
        <v>7</v>
      </c>
      <c r="AR16" s="687">
        <v>0</v>
      </c>
      <c r="AS16" s="687"/>
      <c r="AT16" s="685">
        <f t="shared" si="8"/>
        <v>36.539750517445285</v>
      </c>
    </row>
    <row r="17" spans="1:46" s="2" customFormat="1" ht="15.6" customHeight="1">
      <c r="A17" s="1602"/>
      <c r="B17" s="1602"/>
      <c r="C17" s="22"/>
      <c r="D17" s="480" t="s">
        <v>7</v>
      </c>
      <c r="E17" s="483" t="s">
        <v>256</v>
      </c>
      <c r="F17" s="643"/>
      <c r="G17" s="5"/>
      <c r="H17" s="75"/>
      <c r="I17" s="5" t="s">
        <v>273</v>
      </c>
      <c r="J17" s="634">
        <v>22789</v>
      </c>
      <c r="K17" s="634">
        <v>30175</v>
      </c>
      <c r="L17" s="1055">
        <v>20796</v>
      </c>
      <c r="M17" s="1055">
        <v>57</v>
      </c>
      <c r="N17" s="1055">
        <v>1610</v>
      </c>
      <c r="O17" s="1055">
        <v>7344</v>
      </c>
      <c r="P17" s="1055">
        <v>368</v>
      </c>
      <c r="Q17" s="678">
        <f t="shared" si="1"/>
        <v>0.32410373425775596</v>
      </c>
      <c r="R17" s="276"/>
      <c r="S17" s="276"/>
      <c r="T17" s="512">
        <f>R17-S17</f>
        <v>0</v>
      </c>
      <c r="U17" s="579">
        <f>H17-R17</f>
        <v>0</v>
      </c>
      <c r="V17" s="579">
        <f t="shared" si="4"/>
        <v>0</v>
      </c>
      <c r="W17" s="579">
        <f t="shared" si="5"/>
        <v>0</v>
      </c>
      <c r="X17" s="579">
        <f t="shared" si="6"/>
        <v>0</v>
      </c>
      <c r="AC17" s="394"/>
      <c r="AD17" s="684">
        <f t="shared" si="10"/>
        <v>0</v>
      </c>
      <c r="AE17" s="684"/>
      <c r="AF17" s="583">
        <v>0</v>
      </c>
      <c r="AG17" s="583"/>
      <c r="AH17" s="583">
        <v>0</v>
      </c>
      <c r="AI17" s="583"/>
      <c r="AJ17" s="583">
        <v>0</v>
      </c>
      <c r="AK17" s="583"/>
      <c r="AL17" s="689">
        <v>0</v>
      </c>
      <c r="AM17" s="689"/>
      <c r="AN17" s="583">
        <v>0</v>
      </c>
      <c r="AO17" s="583"/>
      <c r="AP17" s="583">
        <v>0</v>
      </c>
      <c r="AQ17" s="583"/>
      <c r="AR17" s="583">
        <v>0</v>
      </c>
      <c r="AS17" s="583"/>
      <c r="AT17" s="685">
        <f t="shared" si="8"/>
        <v>0</v>
      </c>
    </row>
    <row r="18" spans="1:46" s="2" customFormat="1" ht="15.6" customHeight="1">
      <c r="A18" s="1603"/>
      <c r="B18" s="1603"/>
      <c r="C18" s="22"/>
      <c r="D18" s="480" t="s">
        <v>8</v>
      </c>
      <c r="E18" s="483" t="s">
        <v>256</v>
      </c>
      <c r="F18" s="643"/>
      <c r="G18" s="5"/>
      <c r="H18" s="75"/>
      <c r="I18" s="5" t="s">
        <v>273</v>
      </c>
      <c r="J18" s="634">
        <v>23371</v>
      </c>
      <c r="K18" s="634">
        <v>30871</v>
      </c>
      <c r="L18" s="1055">
        <v>21170</v>
      </c>
      <c r="M18" s="1055">
        <v>62</v>
      </c>
      <c r="N18" s="1055">
        <v>1651</v>
      </c>
      <c r="O18" s="1055">
        <v>7616</v>
      </c>
      <c r="P18" s="1055">
        <v>372</v>
      </c>
      <c r="Q18" s="678">
        <f t="shared" si="1"/>
        <v>0.3209105301441959</v>
      </c>
      <c r="R18" s="74"/>
      <c r="S18" s="74"/>
      <c r="T18" s="512">
        <f>R18-S18</f>
        <v>0</v>
      </c>
      <c r="U18" s="579">
        <f>H18-R18</f>
        <v>0</v>
      </c>
      <c r="V18" s="579">
        <f t="shared" si="4"/>
        <v>0</v>
      </c>
      <c r="W18" s="579">
        <f t="shared" si="5"/>
        <v>0</v>
      </c>
      <c r="X18" s="579">
        <f t="shared" si="6"/>
        <v>0</v>
      </c>
      <c r="AC18" s="394"/>
      <c r="AD18" s="684">
        <f t="shared" si="10"/>
        <v>0</v>
      </c>
      <c r="AE18" s="684"/>
      <c r="AF18" s="583">
        <v>0</v>
      </c>
      <c r="AG18" s="583"/>
      <c r="AH18" s="583">
        <v>0</v>
      </c>
      <c r="AI18" s="583"/>
      <c r="AJ18" s="583">
        <v>0</v>
      </c>
      <c r="AK18" s="583"/>
      <c r="AL18" s="689">
        <v>0</v>
      </c>
      <c r="AM18" s="689"/>
      <c r="AN18" s="583">
        <v>0</v>
      </c>
      <c r="AO18" s="583"/>
      <c r="AP18" s="583">
        <v>0</v>
      </c>
      <c r="AQ18" s="583"/>
      <c r="AR18" s="583">
        <v>0</v>
      </c>
      <c r="AS18" s="583"/>
      <c r="AT18" s="685">
        <f t="shared" si="8"/>
        <v>0</v>
      </c>
    </row>
    <row r="19" spans="1:46" s="18" customFormat="1">
      <c r="A19" s="1601" t="s">
        <v>561</v>
      </c>
      <c r="B19" s="1601" t="s">
        <v>556</v>
      </c>
      <c r="C19" s="477">
        <v>7</v>
      </c>
      <c r="D19" s="20" t="s">
        <v>2083</v>
      </c>
      <c r="E19" s="478"/>
      <c r="F19" s="643" t="s">
        <v>485</v>
      </c>
      <c r="G19" s="58" t="s">
        <v>1860</v>
      </c>
      <c r="H19" s="637">
        <v>7</v>
      </c>
      <c r="I19" s="58"/>
      <c r="J19" s="68">
        <f>IF(J21=0,"",J20/J21)</f>
        <v>9.967516575446091E-3</v>
      </c>
      <c r="K19" s="68">
        <f>IF(K21=0,"",K20/K21)</f>
        <v>1.6541420249899953E-2</v>
      </c>
      <c r="L19" s="68">
        <f t="shared" ref="L19:P19" si="12">IF(L21=0,"",L20/L21)</f>
        <v>1.39694254085398E-2</v>
      </c>
      <c r="M19" s="68" t="str">
        <f t="shared" si="12"/>
        <v/>
      </c>
      <c r="N19" s="68">
        <f t="shared" si="12"/>
        <v>3.2819825853985261E-2</v>
      </c>
      <c r="O19" s="68">
        <f t="shared" si="12"/>
        <v>1.9365250134480903E-2</v>
      </c>
      <c r="P19" s="68">
        <f t="shared" si="12"/>
        <v>1.2345679012345678E-2</v>
      </c>
      <c r="Q19" s="167">
        <f t="shared" si="1"/>
        <v>0.65953275569643588</v>
      </c>
      <c r="R19" s="245" t="str">
        <f>G19</f>
        <v>行业排序评分</v>
      </c>
      <c r="S19" s="245" t="str">
        <f>G19</f>
        <v>行业排序评分</v>
      </c>
      <c r="T19" s="245" t="str">
        <f>"行业排序评分"</f>
        <v>行业排序评分</v>
      </c>
      <c r="U19" s="64">
        <v>7</v>
      </c>
      <c r="V19" s="579">
        <f t="shared" si="4"/>
        <v>2.1</v>
      </c>
      <c r="W19" s="579">
        <f t="shared" si="5"/>
        <v>0.23333333333333334</v>
      </c>
      <c r="X19" s="579">
        <f t="shared" si="6"/>
        <v>0.11666666666666667</v>
      </c>
      <c r="AC19" s="394"/>
      <c r="AD19" s="684" t="str">
        <f t="shared" si="10"/>
        <v>行业排序评分</v>
      </c>
      <c r="AE19" s="686" t="s">
        <v>1640</v>
      </c>
      <c r="AF19" s="583">
        <v>0</v>
      </c>
      <c r="AG19" s="583"/>
      <c r="AH19" s="687">
        <v>1</v>
      </c>
      <c r="AI19" s="687">
        <v>5.8691374587735483</v>
      </c>
      <c r="AJ19" s="583">
        <v>1</v>
      </c>
      <c r="AK19" s="583">
        <v>3.3157894736842106</v>
      </c>
      <c r="AL19" s="688">
        <v>1</v>
      </c>
      <c r="AM19" s="688">
        <v>4.3621323529411766</v>
      </c>
      <c r="AN19" s="688">
        <v>1</v>
      </c>
      <c r="AO19" s="688">
        <v>6.1678747463032764</v>
      </c>
      <c r="AP19" s="687">
        <v>1</v>
      </c>
      <c r="AQ19" s="687">
        <v>7</v>
      </c>
      <c r="AR19" s="687">
        <v>0</v>
      </c>
      <c r="AS19" s="687"/>
      <c r="AT19" s="685">
        <f t="shared" si="8"/>
        <v>31.714934031702214</v>
      </c>
    </row>
    <row r="20" spans="1:46" s="2" customFormat="1" ht="15" customHeight="1">
      <c r="A20" s="1602"/>
      <c r="B20" s="1602"/>
      <c r="C20" s="22"/>
      <c r="D20" s="480" t="s">
        <v>2084</v>
      </c>
      <c r="E20" s="483" t="s">
        <v>256</v>
      </c>
      <c r="F20" s="643"/>
      <c r="G20" s="5"/>
      <c r="H20" s="74"/>
      <c r="I20" s="5"/>
      <c r="J20" s="62">
        <v>224</v>
      </c>
      <c r="K20" s="62">
        <v>372</v>
      </c>
      <c r="L20" s="1055">
        <v>212</v>
      </c>
      <c r="M20" s="1055">
        <v>0</v>
      </c>
      <c r="N20" s="1055">
        <v>49</v>
      </c>
      <c r="O20" s="1055">
        <v>108</v>
      </c>
      <c r="P20" s="1055">
        <v>3</v>
      </c>
      <c r="Q20" s="678">
        <f t="shared" si="1"/>
        <v>0.66071428571428581</v>
      </c>
      <c r="R20" s="74"/>
      <c r="S20" s="74"/>
      <c r="T20" s="512">
        <f t="shared" ref="T20:T31" si="13">R20-S20</f>
        <v>0</v>
      </c>
      <c r="U20" s="579">
        <f>H20-R20</f>
        <v>0</v>
      </c>
      <c r="V20" s="579">
        <f t="shared" si="4"/>
        <v>0</v>
      </c>
      <c r="W20" s="579">
        <f t="shared" si="5"/>
        <v>0</v>
      </c>
      <c r="X20" s="579">
        <f t="shared" si="6"/>
        <v>0</v>
      </c>
      <c r="AC20" s="394"/>
      <c r="AD20" s="684">
        <f t="shared" si="10"/>
        <v>0</v>
      </c>
      <c r="AE20" s="684"/>
      <c r="AF20" s="583">
        <v>0</v>
      </c>
      <c r="AG20" s="583"/>
      <c r="AH20" s="583">
        <v>0</v>
      </c>
      <c r="AI20" s="583"/>
      <c r="AJ20" s="583">
        <v>0</v>
      </c>
      <c r="AK20" s="583"/>
      <c r="AL20" s="689">
        <v>0</v>
      </c>
      <c r="AM20" s="689"/>
      <c r="AN20" s="583">
        <v>0</v>
      </c>
      <c r="AO20" s="583"/>
      <c r="AP20" s="583">
        <v>0</v>
      </c>
      <c r="AQ20" s="583"/>
      <c r="AR20" s="583">
        <v>0</v>
      </c>
      <c r="AS20" s="583"/>
      <c r="AT20" s="685">
        <f t="shared" si="8"/>
        <v>0</v>
      </c>
    </row>
    <row r="21" spans="1:46" s="2" customFormat="1" ht="15.6" customHeight="1">
      <c r="A21" s="1603"/>
      <c r="B21" s="1603"/>
      <c r="C21" s="22"/>
      <c r="D21" s="480" t="s">
        <v>2085</v>
      </c>
      <c r="E21" s="483" t="s">
        <v>256</v>
      </c>
      <c r="F21" s="643"/>
      <c r="G21" s="5"/>
      <c r="H21" s="74"/>
      <c r="I21" s="5"/>
      <c r="J21" s="62">
        <v>22473</v>
      </c>
      <c r="K21" s="62">
        <v>22489</v>
      </c>
      <c r="L21" s="1055">
        <v>15176</v>
      </c>
      <c r="M21" s="1055">
        <v>0</v>
      </c>
      <c r="N21" s="1055">
        <v>1493</v>
      </c>
      <c r="O21" s="1055">
        <v>5577</v>
      </c>
      <c r="P21" s="1055">
        <v>243</v>
      </c>
      <c r="Q21" s="678">
        <f t="shared" si="1"/>
        <v>7.1196546967478014E-4</v>
      </c>
      <c r="R21" s="74"/>
      <c r="S21" s="74"/>
      <c r="T21" s="512">
        <f t="shared" si="13"/>
        <v>0</v>
      </c>
      <c r="U21" s="579">
        <f>H21-R21</f>
        <v>0</v>
      </c>
      <c r="V21" s="579">
        <f t="shared" si="4"/>
        <v>0</v>
      </c>
      <c r="W21" s="579">
        <f t="shared" si="5"/>
        <v>0</v>
      </c>
      <c r="X21" s="579">
        <f t="shared" si="6"/>
        <v>0</v>
      </c>
      <c r="AC21" s="394"/>
      <c r="AD21" s="684">
        <f t="shared" si="10"/>
        <v>0</v>
      </c>
      <c r="AE21" s="684"/>
      <c r="AF21" s="583">
        <v>0</v>
      </c>
      <c r="AG21" s="583"/>
      <c r="AH21" s="583">
        <v>0</v>
      </c>
      <c r="AI21" s="583"/>
      <c r="AJ21" s="583">
        <v>0</v>
      </c>
      <c r="AK21" s="583"/>
      <c r="AL21" s="689">
        <v>0</v>
      </c>
      <c r="AM21" s="689"/>
      <c r="AN21" s="583">
        <v>0</v>
      </c>
      <c r="AO21" s="583"/>
      <c r="AP21" s="583">
        <v>0</v>
      </c>
      <c r="AQ21" s="583"/>
      <c r="AR21" s="583">
        <v>0</v>
      </c>
      <c r="AS21" s="583"/>
      <c r="AT21" s="685">
        <f t="shared" si="8"/>
        <v>0</v>
      </c>
    </row>
    <row r="22" spans="1:46" s="2" customFormat="1" ht="15.6" customHeight="1">
      <c r="A22" s="258" t="s">
        <v>1480</v>
      </c>
      <c r="B22" s="121" t="s">
        <v>292</v>
      </c>
      <c r="C22" s="21">
        <v>8</v>
      </c>
      <c r="D22" s="990" t="s">
        <v>2210</v>
      </c>
      <c r="E22" s="478" t="s">
        <v>543</v>
      </c>
      <c r="F22" s="643" t="s">
        <v>538</v>
      </c>
      <c r="G22" s="5" t="s">
        <v>1858</v>
      </c>
      <c r="H22" s="637">
        <v>4</v>
      </c>
      <c r="I22" s="49"/>
      <c r="J22" s="482">
        <v>7</v>
      </c>
      <c r="K22" s="482">
        <v>7</v>
      </c>
      <c r="L22" s="1057">
        <v>7</v>
      </c>
      <c r="M22" s="1055">
        <v>0</v>
      </c>
      <c r="N22" s="1055">
        <v>0</v>
      </c>
      <c r="O22" s="1055">
        <v>0</v>
      </c>
      <c r="P22" s="1055"/>
      <c r="Q22" s="678">
        <f t="shared" si="1"/>
        <v>0</v>
      </c>
      <c r="R22" s="640">
        <f>$H$22-0.5*K22</f>
        <v>0.5</v>
      </c>
      <c r="S22" s="640">
        <f>$H$22-0.5*J22</f>
        <v>0.5</v>
      </c>
      <c r="T22" s="1039">
        <f t="shared" si="13"/>
        <v>0</v>
      </c>
      <c r="U22" s="579">
        <f>H22-R22</f>
        <v>3.5</v>
      </c>
      <c r="V22" s="579">
        <f t="shared" si="4"/>
        <v>1.05</v>
      </c>
      <c r="W22" s="579">
        <f t="shared" si="5"/>
        <v>0.11666666666666667</v>
      </c>
      <c r="X22" s="1049">
        <f t="shared" si="6"/>
        <v>5.8333333333333334E-2</v>
      </c>
      <c r="AC22" s="394"/>
      <c r="AD22" s="684">
        <f t="shared" si="10"/>
        <v>0.5</v>
      </c>
      <c r="AE22" s="686" t="s">
        <v>1640</v>
      </c>
      <c r="AF22" s="583">
        <v>0</v>
      </c>
      <c r="AG22" s="583"/>
      <c r="AH22" s="687">
        <v>1</v>
      </c>
      <c r="AI22" s="687">
        <v>3</v>
      </c>
      <c r="AJ22" s="583">
        <v>1</v>
      </c>
      <c r="AK22" s="583">
        <v>4</v>
      </c>
      <c r="AL22" s="688">
        <v>1</v>
      </c>
      <c r="AM22" s="688">
        <v>3.5</v>
      </c>
      <c r="AN22" s="688">
        <v>1</v>
      </c>
      <c r="AO22" s="688">
        <v>4</v>
      </c>
      <c r="AP22" s="687">
        <v>1</v>
      </c>
      <c r="AQ22" s="687">
        <v>4</v>
      </c>
      <c r="AR22" s="687">
        <v>0</v>
      </c>
      <c r="AS22" s="687"/>
      <c r="AT22" s="685">
        <f t="shared" si="8"/>
        <v>23.5</v>
      </c>
    </row>
    <row r="23" spans="1:46" s="2" customFormat="1" ht="15.6" customHeight="1">
      <c r="A23" s="121" t="s">
        <v>293</v>
      </c>
      <c r="B23" s="121" t="s">
        <v>294</v>
      </c>
      <c r="C23" s="21">
        <v>9</v>
      </c>
      <c r="D23" s="20" t="s">
        <v>564</v>
      </c>
      <c r="E23" s="478" t="s">
        <v>543</v>
      </c>
      <c r="F23" s="643" t="s">
        <v>538</v>
      </c>
      <c r="G23" s="5" t="s">
        <v>1859</v>
      </c>
      <c r="H23" s="637">
        <v>4</v>
      </c>
      <c r="I23" s="49"/>
      <c r="J23" s="634">
        <v>0</v>
      </c>
      <c r="K23" s="634">
        <v>0</v>
      </c>
      <c r="L23" s="1054">
        <v>0</v>
      </c>
      <c r="M23" s="1055">
        <v>0</v>
      </c>
      <c r="N23" s="1055">
        <v>0</v>
      </c>
      <c r="O23" s="1055">
        <v>0</v>
      </c>
      <c r="P23" s="1055"/>
      <c r="Q23" s="678">
        <f t="shared" si="1"/>
        <v>0</v>
      </c>
      <c r="R23" s="639">
        <f>$H$23-0.5*K23</f>
        <v>4</v>
      </c>
      <c r="S23" s="639">
        <f>$H$23-0.5*J23</f>
        <v>4</v>
      </c>
      <c r="T23" s="512">
        <f t="shared" si="13"/>
        <v>0</v>
      </c>
      <c r="U23" s="579">
        <f>H23-R23</f>
        <v>0</v>
      </c>
      <c r="V23" s="579">
        <f t="shared" si="4"/>
        <v>0</v>
      </c>
      <c r="W23" s="579">
        <f t="shared" si="5"/>
        <v>0</v>
      </c>
      <c r="X23" s="579">
        <f t="shared" si="6"/>
        <v>0</v>
      </c>
      <c r="AC23" s="394"/>
      <c r="AD23" s="684">
        <f t="shared" si="10"/>
        <v>4</v>
      </c>
      <c r="AE23" s="686" t="s">
        <v>1640</v>
      </c>
      <c r="AF23" s="583">
        <v>0</v>
      </c>
      <c r="AG23" s="583"/>
      <c r="AH23" s="687">
        <v>1</v>
      </c>
      <c r="AI23" s="687">
        <f>$R23</f>
        <v>4</v>
      </c>
      <c r="AJ23" s="583">
        <v>0</v>
      </c>
      <c r="AK23" s="687">
        <f>$R23</f>
        <v>4</v>
      </c>
      <c r="AL23" s="688">
        <v>1</v>
      </c>
      <c r="AM23" s="687">
        <f>$R23</f>
        <v>4</v>
      </c>
      <c r="AN23" s="688">
        <v>1</v>
      </c>
      <c r="AO23" s="687">
        <f>$R23</f>
        <v>4</v>
      </c>
      <c r="AP23" s="687">
        <v>1</v>
      </c>
      <c r="AQ23" s="687">
        <f>$R23</f>
        <v>4</v>
      </c>
      <c r="AR23" s="687">
        <v>0</v>
      </c>
      <c r="AS23" s="687"/>
      <c r="AT23" s="685">
        <f t="shared" si="8"/>
        <v>24</v>
      </c>
    </row>
    <row r="24" spans="1:46" s="2" customFormat="1" ht="15.6" customHeight="1">
      <c r="A24" s="1601" t="s">
        <v>295</v>
      </c>
      <c r="B24" s="1601" t="s">
        <v>296</v>
      </c>
      <c r="C24" s="21">
        <v>10</v>
      </c>
      <c r="D24" s="20" t="s">
        <v>9</v>
      </c>
      <c r="E24" s="483"/>
      <c r="F24" s="643" t="s">
        <v>485</v>
      </c>
      <c r="G24" s="5" t="s">
        <v>1860</v>
      </c>
      <c r="H24" s="637">
        <v>3</v>
      </c>
      <c r="I24" s="5"/>
      <c r="J24" s="634" t="s">
        <v>1590</v>
      </c>
      <c r="K24" s="634" t="s">
        <v>1590</v>
      </c>
      <c r="L24" s="5"/>
      <c r="M24" s="5"/>
      <c r="N24" s="5"/>
      <c r="O24" s="5"/>
      <c r="P24" s="5"/>
      <c r="Q24" s="678"/>
      <c r="R24" s="839" t="s">
        <v>2004</v>
      </c>
      <c r="S24" s="839" t="s">
        <v>2004</v>
      </c>
      <c r="T24" s="512">
        <v>0</v>
      </c>
      <c r="U24" s="579"/>
      <c r="V24" s="579">
        <f t="shared" si="4"/>
        <v>0</v>
      </c>
      <c r="W24" s="579">
        <f t="shared" si="5"/>
        <v>0</v>
      </c>
      <c r="X24" s="579">
        <f t="shared" si="6"/>
        <v>0</v>
      </c>
      <c r="AC24" s="394"/>
      <c r="AD24" s="684" t="str">
        <f t="shared" si="10"/>
        <v>&lt;不适用&gt;</v>
      </c>
      <c r="AE24" s="684"/>
      <c r="AF24" s="583">
        <v>0</v>
      </c>
      <c r="AG24" s="583"/>
      <c r="AH24" s="583">
        <v>0</v>
      </c>
      <c r="AI24" s="583"/>
      <c r="AJ24" s="583">
        <v>0</v>
      </c>
      <c r="AK24" s="583"/>
      <c r="AL24" s="583">
        <v>0</v>
      </c>
      <c r="AM24" s="583"/>
      <c r="AN24" s="583">
        <v>0</v>
      </c>
      <c r="AO24" s="583"/>
      <c r="AP24" s="583">
        <v>0</v>
      </c>
      <c r="AQ24" s="583"/>
      <c r="AR24" s="583">
        <v>0</v>
      </c>
      <c r="AS24" s="583"/>
      <c r="AT24" s="685">
        <f t="shared" si="8"/>
        <v>0</v>
      </c>
    </row>
    <row r="25" spans="1:46" s="2" customFormat="1" ht="15.6" customHeight="1">
      <c r="A25" s="1602"/>
      <c r="B25" s="1602"/>
      <c r="C25" s="22"/>
      <c r="D25" s="480" t="s">
        <v>10</v>
      </c>
      <c r="E25" s="483"/>
      <c r="F25" s="643"/>
      <c r="G25" s="5"/>
      <c r="H25" s="75"/>
      <c r="I25" s="5"/>
      <c r="J25" s="634" t="s">
        <v>1590</v>
      </c>
      <c r="K25" s="634" t="s">
        <v>1590</v>
      </c>
      <c r="L25" s="5"/>
      <c r="M25" s="5"/>
      <c r="N25" s="5"/>
      <c r="O25" s="5"/>
      <c r="P25" s="5"/>
      <c r="Q25" s="678"/>
      <c r="R25" s="75"/>
      <c r="S25" s="75"/>
      <c r="T25" s="512">
        <f t="shared" si="13"/>
        <v>0</v>
      </c>
      <c r="U25" s="579">
        <f t="shared" ref="U25:U31" si="14">H25-R25</f>
        <v>0</v>
      </c>
      <c r="V25" s="579">
        <f t="shared" si="4"/>
        <v>0</v>
      </c>
      <c r="W25" s="579">
        <f t="shared" si="5"/>
        <v>0</v>
      </c>
      <c r="X25" s="579">
        <f t="shared" si="6"/>
        <v>0</v>
      </c>
      <c r="AC25" s="394"/>
      <c r="AD25" s="684">
        <f t="shared" si="10"/>
        <v>0</v>
      </c>
      <c r="AE25" s="684"/>
      <c r="AF25" s="583">
        <v>0</v>
      </c>
      <c r="AG25" s="583"/>
      <c r="AH25" s="583">
        <v>0</v>
      </c>
      <c r="AI25" s="583"/>
      <c r="AJ25" s="583">
        <v>0</v>
      </c>
      <c r="AK25" s="583"/>
      <c r="AL25" s="689">
        <v>0</v>
      </c>
      <c r="AM25" s="689"/>
      <c r="AN25" s="583">
        <v>0</v>
      </c>
      <c r="AO25" s="583"/>
      <c r="AP25" s="583">
        <v>0</v>
      </c>
      <c r="AQ25" s="583"/>
      <c r="AR25" s="583">
        <v>0</v>
      </c>
      <c r="AS25" s="583"/>
      <c r="AT25" s="685">
        <f t="shared" si="8"/>
        <v>0</v>
      </c>
    </row>
    <row r="26" spans="1:46" s="2" customFormat="1" ht="15.6" customHeight="1">
      <c r="A26" s="1603"/>
      <c r="B26" s="1603"/>
      <c r="C26" s="22"/>
      <c r="D26" s="480" t="s">
        <v>11</v>
      </c>
      <c r="E26" s="483"/>
      <c r="F26" s="643"/>
      <c r="G26" s="5"/>
      <c r="H26" s="75"/>
      <c r="I26" s="5"/>
      <c r="J26" s="634" t="s">
        <v>1590</v>
      </c>
      <c r="K26" s="634" t="s">
        <v>1590</v>
      </c>
      <c r="L26" s="5"/>
      <c r="M26" s="5"/>
      <c r="N26" s="5"/>
      <c r="O26" s="5"/>
      <c r="P26" s="5"/>
      <c r="Q26" s="678"/>
      <c r="R26" s="75"/>
      <c r="S26" s="75"/>
      <c r="T26" s="512">
        <f t="shared" si="13"/>
        <v>0</v>
      </c>
      <c r="U26" s="579">
        <f t="shared" si="14"/>
        <v>0</v>
      </c>
      <c r="V26" s="579">
        <f t="shared" si="4"/>
        <v>0</v>
      </c>
      <c r="W26" s="579">
        <f t="shared" si="5"/>
        <v>0</v>
      </c>
      <c r="X26" s="579">
        <f t="shared" si="6"/>
        <v>0</v>
      </c>
      <c r="AC26" s="394"/>
      <c r="AD26" s="684">
        <f t="shared" si="10"/>
        <v>0</v>
      </c>
      <c r="AE26" s="684"/>
      <c r="AF26" s="583">
        <v>0</v>
      </c>
      <c r="AG26" s="583"/>
      <c r="AH26" s="583">
        <v>0</v>
      </c>
      <c r="AI26" s="583"/>
      <c r="AJ26" s="583">
        <v>0</v>
      </c>
      <c r="AK26" s="583"/>
      <c r="AL26" s="689">
        <v>0</v>
      </c>
      <c r="AM26" s="689"/>
      <c r="AN26" s="583">
        <v>0</v>
      </c>
      <c r="AO26" s="583"/>
      <c r="AP26" s="583">
        <v>0</v>
      </c>
      <c r="AQ26" s="583"/>
      <c r="AR26" s="583">
        <v>0</v>
      </c>
      <c r="AS26" s="583"/>
      <c r="AT26" s="685">
        <f t="shared" si="8"/>
        <v>0</v>
      </c>
    </row>
    <row r="27" spans="1:46" s="2" customFormat="1" ht="15.6" customHeight="1">
      <c r="A27" s="1032" t="s">
        <v>2098</v>
      </c>
      <c r="B27" s="121" t="s">
        <v>294</v>
      </c>
      <c r="C27" s="21">
        <v>11</v>
      </c>
      <c r="D27" s="990" t="s">
        <v>2027</v>
      </c>
      <c r="E27" s="483" t="s">
        <v>1723</v>
      </c>
      <c r="F27" s="643" t="s">
        <v>538</v>
      </c>
      <c r="G27" s="5" t="s">
        <v>1859</v>
      </c>
      <c r="H27" s="637">
        <v>5</v>
      </c>
      <c r="I27" s="5" t="s">
        <v>1054</v>
      </c>
      <c r="J27" s="634">
        <v>0</v>
      </c>
      <c r="K27" s="634">
        <v>1</v>
      </c>
      <c r="L27" s="5">
        <v>1</v>
      </c>
      <c r="M27" s="5">
        <v>0</v>
      </c>
      <c r="N27" s="5">
        <v>0</v>
      </c>
      <c r="O27" s="5">
        <v>0</v>
      </c>
      <c r="P27" s="5">
        <v>0</v>
      </c>
      <c r="Q27" s="678">
        <f>IF(AND(J27=0,K27&lt;&gt;0),1,IF(AND(J27=0,K27=0),0,K27/J27-1))</f>
        <v>1</v>
      </c>
      <c r="R27" s="640">
        <f>MAX(5-K27*0.5,0)</f>
        <v>4.5</v>
      </c>
      <c r="S27" s="640">
        <f>MAX(5-J27*0.5,0)</f>
        <v>5</v>
      </c>
      <c r="T27" s="512">
        <f t="shared" si="13"/>
        <v>-0.5</v>
      </c>
      <c r="U27" s="579">
        <f t="shared" si="14"/>
        <v>0.5</v>
      </c>
      <c r="V27" s="579">
        <f t="shared" si="4"/>
        <v>0.15</v>
      </c>
      <c r="W27" s="579">
        <f t="shared" si="5"/>
        <v>1.6666666666666666E-2</v>
      </c>
      <c r="X27" s="1049">
        <f t="shared" si="6"/>
        <v>8.3333333333333332E-3</v>
      </c>
      <c r="AC27" s="394"/>
      <c r="AD27" s="684">
        <f t="shared" si="10"/>
        <v>5</v>
      </c>
      <c r="AE27" s="686" t="s">
        <v>1640</v>
      </c>
      <c r="AF27" s="583">
        <v>0</v>
      </c>
      <c r="AG27" s="583"/>
      <c r="AH27" s="687">
        <v>1</v>
      </c>
      <c r="AI27" s="687">
        <f>$R27</f>
        <v>4.5</v>
      </c>
      <c r="AJ27" s="583">
        <v>1</v>
      </c>
      <c r="AK27" s="687">
        <f>$R27</f>
        <v>4.5</v>
      </c>
      <c r="AL27" s="688">
        <v>1</v>
      </c>
      <c r="AM27" s="687">
        <f>$R27</f>
        <v>4.5</v>
      </c>
      <c r="AN27" s="688">
        <v>1</v>
      </c>
      <c r="AO27" s="687">
        <f>$R27</f>
        <v>4.5</v>
      </c>
      <c r="AP27" s="687">
        <v>1</v>
      </c>
      <c r="AQ27" s="687">
        <f>$R27</f>
        <v>4.5</v>
      </c>
      <c r="AR27" s="687">
        <v>0</v>
      </c>
      <c r="AS27" s="687"/>
      <c r="AT27" s="685">
        <f t="shared" si="8"/>
        <v>27.5</v>
      </c>
    </row>
    <row r="28" spans="1:46" s="2" customFormat="1" ht="15.6" customHeight="1">
      <c r="A28" s="121" t="s">
        <v>297</v>
      </c>
      <c r="B28" s="121" t="s">
        <v>294</v>
      </c>
      <c r="C28" s="21">
        <v>12</v>
      </c>
      <c r="D28" s="20" t="s">
        <v>2212</v>
      </c>
      <c r="E28" s="483" t="s">
        <v>1723</v>
      </c>
      <c r="F28" s="643" t="s">
        <v>538</v>
      </c>
      <c r="G28" s="5" t="s">
        <v>1858</v>
      </c>
      <c r="H28" s="637">
        <v>5</v>
      </c>
      <c r="I28" s="5" t="s">
        <v>1054</v>
      </c>
      <c r="J28" s="62">
        <v>0</v>
      </c>
      <c r="K28" s="62">
        <v>0</v>
      </c>
      <c r="L28" s="5">
        <v>0</v>
      </c>
      <c r="M28" s="5">
        <v>0</v>
      </c>
      <c r="N28" s="5">
        <v>0</v>
      </c>
      <c r="O28" s="5">
        <v>0</v>
      </c>
      <c r="P28" s="5">
        <v>0</v>
      </c>
      <c r="Q28" s="678">
        <f>IF(AND(J28=0,K28&lt;&gt;0),1,IF(AND(J28=0,K28=0),0,K28/J28-1))</f>
        <v>0</v>
      </c>
      <c r="R28" s="640">
        <f>MAX(5-K28*0.5,0)</f>
        <v>5</v>
      </c>
      <c r="S28" s="640">
        <f>MAX(5-J28*0.5,0)</f>
        <v>5</v>
      </c>
      <c r="T28" s="512">
        <f t="shared" si="13"/>
        <v>0</v>
      </c>
      <c r="U28" s="579">
        <f t="shared" si="14"/>
        <v>0</v>
      </c>
      <c r="V28" s="579">
        <f t="shared" si="4"/>
        <v>0</v>
      </c>
      <c r="W28" s="579">
        <f t="shared" si="5"/>
        <v>0</v>
      </c>
      <c r="X28" s="579">
        <f t="shared" si="6"/>
        <v>0</v>
      </c>
      <c r="AC28" s="394"/>
      <c r="AD28" s="684">
        <f t="shared" si="10"/>
        <v>5</v>
      </c>
      <c r="AE28" s="686" t="s">
        <v>1640</v>
      </c>
      <c r="AF28" s="583">
        <v>0</v>
      </c>
      <c r="AG28" s="583"/>
      <c r="AH28" s="687">
        <v>1</v>
      </c>
      <c r="AI28" s="687">
        <f t="shared" ref="AI28:AQ35" si="15">$R28</f>
        <v>5</v>
      </c>
      <c r="AJ28" s="583">
        <v>1</v>
      </c>
      <c r="AK28" s="687">
        <f t="shared" si="15"/>
        <v>5</v>
      </c>
      <c r="AL28" s="691">
        <v>1</v>
      </c>
      <c r="AM28" s="687">
        <f t="shared" si="15"/>
        <v>5</v>
      </c>
      <c r="AN28" s="691">
        <v>1</v>
      </c>
      <c r="AO28" s="687">
        <f t="shared" si="15"/>
        <v>5</v>
      </c>
      <c r="AP28" s="687">
        <v>1</v>
      </c>
      <c r="AQ28" s="687">
        <f t="shared" si="15"/>
        <v>5</v>
      </c>
      <c r="AR28" s="687">
        <v>0</v>
      </c>
      <c r="AS28" s="687"/>
      <c r="AT28" s="685">
        <f t="shared" si="8"/>
        <v>30</v>
      </c>
    </row>
    <row r="29" spans="1:46" s="2" customFormat="1" ht="15.6" customHeight="1">
      <c r="A29" s="121" t="s">
        <v>298</v>
      </c>
      <c r="B29" s="121" t="s">
        <v>294</v>
      </c>
      <c r="C29" s="21">
        <v>13</v>
      </c>
      <c r="D29" s="20" t="s">
        <v>566</v>
      </c>
      <c r="E29" s="483" t="s">
        <v>542</v>
      </c>
      <c r="F29" s="643" t="s">
        <v>538</v>
      </c>
      <c r="G29" s="5" t="s">
        <v>1858</v>
      </c>
      <c r="H29" s="637">
        <v>5</v>
      </c>
      <c r="I29" s="5"/>
      <c r="J29" s="62">
        <v>0</v>
      </c>
      <c r="K29" s="62">
        <v>0</v>
      </c>
      <c r="L29" s="5">
        <v>0</v>
      </c>
      <c r="M29" s="5">
        <v>0</v>
      </c>
      <c r="N29" s="5">
        <v>0</v>
      </c>
      <c r="O29" s="5">
        <v>0</v>
      </c>
      <c r="P29" s="5">
        <v>0</v>
      </c>
      <c r="Q29" s="678">
        <f>IF(AND(J29=0,K29&lt;&gt;0),1,IF(AND(J29=0,K29=0),0,K29/J29-1))</f>
        <v>0</v>
      </c>
      <c r="R29" s="640">
        <f>MAX(5-K29*0.5,0)</f>
        <v>5</v>
      </c>
      <c r="S29" s="640">
        <f>MAX(5-J29*0.5,0)</f>
        <v>5</v>
      </c>
      <c r="T29" s="512">
        <f t="shared" si="13"/>
        <v>0</v>
      </c>
      <c r="U29" s="579">
        <f t="shared" si="14"/>
        <v>0</v>
      </c>
      <c r="V29" s="579">
        <f t="shared" si="4"/>
        <v>0</v>
      </c>
      <c r="W29" s="579">
        <f t="shared" si="5"/>
        <v>0</v>
      </c>
      <c r="X29" s="579">
        <f t="shared" si="6"/>
        <v>0</v>
      </c>
      <c r="AC29" s="394"/>
      <c r="AD29" s="684">
        <f t="shared" si="10"/>
        <v>5</v>
      </c>
      <c r="AE29" s="686" t="s">
        <v>1640</v>
      </c>
      <c r="AF29" s="583">
        <v>0</v>
      </c>
      <c r="AG29" s="583"/>
      <c r="AH29" s="687">
        <v>1</v>
      </c>
      <c r="AI29" s="687">
        <f t="shared" si="15"/>
        <v>5</v>
      </c>
      <c r="AJ29" s="583">
        <v>1</v>
      </c>
      <c r="AK29" s="687">
        <f t="shared" si="15"/>
        <v>5</v>
      </c>
      <c r="AL29" s="691">
        <v>1</v>
      </c>
      <c r="AM29" s="687">
        <f t="shared" si="15"/>
        <v>5</v>
      </c>
      <c r="AN29" s="691">
        <v>1</v>
      </c>
      <c r="AO29" s="687">
        <f t="shared" si="15"/>
        <v>5</v>
      </c>
      <c r="AP29" s="687">
        <v>1</v>
      </c>
      <c r="AQ29" s="687">
        <f t="shared" si="15"/>
        <v>5</v>
      </c>
      <c r="AR29" s="687">
        <v>0</v>
      </c>
      <c r="AS29" s="687"/>
      <c r="AT29" s="685">
        <f t="shared" si="8"/>
        <v>30</v>
      </c>
    </row>
    <row r="30" spans="1:46" s="2" customFormat="1" ht="15.6" customHeight="1">
      <c r="A30" s="121" t="s">
        <v>299</v>
      </c>
      <c r="B30" s="121" t="s">
        <v>294</v>
      </c>
      <c r="C30" s="21">
        <v>14</v>
      </c>
      <c r="D30" s="20" t="s">
        <v>2215</v>
      </c>
      <c r="E30" s="483" t="s">
        <v>542</v>
      </c>
      <c r="F30" s="643" t="s">
        <v>538</v>
      </c>
      <c r="G30" s="5" t="s">
        <v>1858</v>
      </c>
      <c r="H30" s="637">
        <v>5</v>
      </c>
      <c r="I30" s="5"/>
      <c r="J30" s="62">
        <v>0</v>
      </c>
      <c r="K30" s="62">
        <v>0</v>
      </c>
      <c r="L30" s="5">
        <v>0</v>
      </c>
      <c r="M30" s="5">
        <v>0</v>
      </c>
      <c r="N30" s="5">
        <v>0</v>
      </c>
      <c r="O30" s="5">
        <v>0</v>
      </c>
      <c r="P30" s="5">
        <v>0</v>
      </c>
      <c r="Q30" s="678">
        <f>IF(AND(J30=0,K30&lt;&gt;0),1,IF(AND(J30=0,K30=0),0,K30/J30-1))</f>
        <v>0</v>
      </c>
      <c r="R30" s="640">
        <f>MAX(5-K30*0.5,0)</f>
        <v>5</v>
      </c>
      <c r="S30" s="640">
        <f>MAX(5-J30*0.5,0)</f>
        <v>5</v>
      </c>
      <c r="T30" s="512">
        <f t="shared" si="13"/>
        <v>0</v>
      </c>
      <c r="U30" s="579">
        <f t="shared" si="14"/>
        <v>0</v>
      </c>
      <c r="V30" s="579">
        <f t="shared" si="4"/>
        <v>0</v>
      </c>
      <c r="W30" s="579">
        <f t="shared" si="5"/>
        <v>0</v>
      </c>
      <c r="X30" s="579">
        <f t="shared" si="6"/>
        <v>0</v>
      </c>
      <c r="AC30" s="394"/>
      <c r="AD30" s="684">
        <f t="shared" si="10"/>
        <v>5</v>
      </c>
      <c r="AE30" s="686" t="s">
        <v>1640</v>
      </c>
      <c r="AF30" s="583">
        <v>0</v>
      </c>
      <c r="AG30" s="583"/>
      <c r="AH30" s="687">
        <v>1</v>
      </c>
      <c r="AI30" s="687">
        <f t="shared" si="15"/>
        <v>5</v>
      </c>
      <c r="AJ30" s="583">
        <v>1</v>
      </c>
      <c r="AK30" s="687">
        <f t="shared" si="15"/>
        <v>5</v>
      </c>
      <c r="AL30" s="691">
        <v>1</v>
      </c>
      <c r="AM30" s="687">
        <f t="shared" si="15"/>
        <v>5</v>
      </c>
      <c r="AN30" s="691">
        <v>1</v>
      </c>
      <c r="AO30" s="687">
        <f t="shared" si="15"/>
        <v>5</v>
      </c>
      <c r="AP30" s="687">
        <v>1</v>
      </c>
      <c r="AQ30" s="687">
        <f t="shared" si="15"/>
        <v>5</v>
      </c>
      <c r="AR30" s="687">
        <v>0</v>
      </c>
      <c r="AS30" s="687"/>
      <c r="AT30" s="685">
        <f t="shared" si="8"/>
        <v>30</v>
      </c>
    </row>
    <row r="31" spans="1:46" s="77" customFormat="1" ht="15.6" customHeight="1">
      <c r="A31" s="1604" t="s">
        <v>300</v>
      </c>
      <c r="B31" s="1656" t="s">
        <v>301</v>
      </c>
      <c r="C31" s="21">
        <v>15</v>
      </c>
      <c r="D31" s="79" t="s">
        <v>12</v>
      </c>
      <c r="E31" s="483" t="s">
        <v>544</v>
      </c>
      <c r="F31" s="643" t="s">
        <v>487</v>
      </c>
      <c r="G31" s="1590" t="s">
        <v>1858</v>
      </c>
      <c r="H31" s="1658">
        <v>5</v>
      </c>
      <c r="I31" s="46"/>
      <c r="J31" s="62" t="s">
        <v>13</v>
      </c>
      <c r="K31" s="62" t="s">
        <v>13</v>
      </c>
      <c r="L31" s="46" t="s">
        <v>13</v>
      </c>
      <c r="M31" s="46" t="s">
        <v>14</v>
      </c>
      <c r="N31" s="46"/>
      <c r="O31" s="46"/>
      <c r="P31" s="46"/>
      <c r="Q31" s="1661">
        <v>0</v>
      </c>
      <c r="R31" s="1660">
        <v>5</v>
      </c>
      <c r="S31" s="1660">
        <v>5</v>
      </c>
      <c r="T31" s="512">
        <f t="shared" si="13"/>
        <v>0</v>
      </c>
      <c r="U31" s="579">
        <f t="shared" si="14"/>
        <v>0</v>
      </c>
      <c r="V31" s="579">
        <f t="shared" si="4"/>
        <v>0</v>
      </c>
      <c r="W31" s="579">
        <f t="shared" si="5"/>
        <v>0</v>
      </c>
      <c r="X31" s="579">
        <f t="shared" si="6"/>
        <v>0</v>
      </c>
      <c r="AC31" s="394"/>
      <c r="AD31" s="684">
        <f t="shared" si="10"/>
        <v>5</v>
      </c>
      <c r="AE31" s="684"/>
      <c r="AF31" s="615">
        <v>0</v>
      </c>
      <c r="AG31" s="615"/>
      <c r="AH31" s="615">
        <v>0</v>
      </c>
      <c r="AI31" s="687">
        <f t="shared" si="15"/>
        <v>5</v>
      </c>
      <c r="AJ31" s="615">
        <v>1</v>
      </c>
      <c r="AK31" s="687">
        <f t="shared" si="15"/>
        <v>5</v>
      </c>
      <c r="AL31" s="615">
        <v>0</v>
      </c>
      <c r="AM31" s="687">
        <f t="shared" si="15"/>
        <v>5</v>
      </c>
      <c r="AN31" s="615">
        <v>0</v>
      </c>
      <c r="AO31" s="687">
        <f t="shared" si="15"/>
        <v>5</v>
      </c>
      <c r="AP31" s="615">
        <v>0</v>
      </c>
      <c r="AQ31" s="687">
        <f t="shared" si="15"/>
        <v>5</v>
      </c>
      <c r="AR31" s="615">
        <v>1</v>
      </c>
      <c r="AS31" s="687">
        <f>$R31</f>
        <v>5</v>
      </c>
      <c r="AT31" s="685">
        <f t="shared" si="8"/>
        <v>27</v>
      </c>
    </row>
    <row r="32" spans="1:46" s="77" customFormat="1" ht="15.6" customHeight="1">
      <c r="A32" s="1606"/>
      <c r="B32" s="1657"/>
      <c r="C32" s="21">
        <v>16</v>
      </c>
      <c r="D32" s="79" t="s">
        <v>15</v>
      </c>
      <c r="E32" s="483" t="s">
        <v>544</v>
      </c>
      <c r="F32" s="643" t="s">
        <v>487</v>
      </c>
      <c r="G32" s="1590"/>
      <c r="H32" s="1658"/>
      <c r="I32" s="46"/>
      <c r="J32" s="62" t="s">
        <v>16</v>
      </c>
      <c r="K32" s="62" t="s">
        <v>16</v>
      </c>
      <c r="L32" s="46" t="s">
        <v>16</v>
      </c>
      <c r="M32" s="46" t="s">
        <v>17</v>
      </c>
      <c r="N32" s="46"/>
      <c r="O32" s="46"/>
      <c r="P32" s="46"/>
      <c r="Q32" s="1661"/>
      <c r="R32" s="1660"/>
      <c r="S32" s="1660"/>
      <c r="T32" s="512"/>
      <c r="U32" s="579"/>
      <c r="V32" s="579">
        <f t="shared" si="4"/>
        <v>0</v>
      </c>
      <c r="W32" s="579">
        <f t="shared" si="5"/>
        <v>0</v>
      </c>
      <c r="X32" s="579">
        <f t="shared" si="6"/>
        <v>0</v>
      </c>
      <c r="AC32" s="394"/>
      <c r="AD32" s="684">
        <f t="shared" si="10"/>
        <v>0</v>
      </c>
      <c r="AE32" s="684"/>
      <c r="AF32" s="615">
        <v>0</v>
      </c>
      <c r="AG32" s="615"/>
      <c r="AH32" s="615">
        <v>0</v>
      </c>
      <c r="AI32" s="687">
        <f t="shared" si="15"/>
        <v>0</v>
      </c>
      <c r="AJ32" s="615">
        <v>1</v>
      </c>
      <c r="AK32" s="687">
        <f t="shared" si="15"/>
        <v>0</v>
      </c>
      <c r="AL32" s="615">
        <v>0</v>
      </c>
      <c r="AM32" s="687">
        <f t="shared" si="15"/>
        <v>0</v>
      </c>
      <c r="AN32" s="615">
        <v>0</v>
      </c>
      <c r="AO32" s="687">
        <f t="shared" si="15"/>
        <v>0</v>
      </c>
      <c r="AP32" s="615">
        <v>0</v>
      </c>
      <c r="AQ32" s="687">
        <f t="shared" si="15"/>
        <v>0</v>
      </c>
      <c r="AR32" s="615">
        <v>1</v>
      </c>
      <c r="AS32" s="615">
        <f t="shared" ref="AS32:AS35" si="16">R32</f>
        <v>0</v>
      </c>
      <c r="AT32" s="685">
        <f t="shared" si="8"/>
        <v>2</v>
      </c>
    </row>
    <row r="33" spans="1:46" s="77" customFormat="1" ht="15.6" customHeight="1">
      <c r="A33" s="1601" t="s">
        <v>302</v>
      </c>
      <c r="B33" s="1601" t="s">
        <v>303</v>
      </c>
      <c r="C33" s="21">
        <v>17</v>
      </c>
      <c r="D33" s="79" t="s">
        <v>18</v>
      </c>
      <c r="E33" s="483" t="s">
        <v>544</v>
      </c>
      <c r="F33" s="643" t="s">
        <v>487</v>
      </c>
      <c r="G33" s="1590" t="s">
        <v>1858</v>
      </c>
      <c r="H33" s="1658">
        <v>5</v>
      </c>
      <c r="I33" s="46"/>
      <c r="J33" s="62" t="s">
        <v>21</v>
      </c>
      <c r="K33" s="62" t="s">
        <v>21</v>
      </c>
      <c r="L33" s="46" t="s">
        <v>19</v>
      </c>
      <c r="M33" s="46" t="s">
        <v>20</v>
      </c>
      <c r="N33" s="46" t="s">
        <v>21</v>
      </c>
      <c r="O33" s="46"/>
      <c r="P33" s="46"/>
      <c r="Q33" s="1661">
        <v>0</v>
      </c>
      <c r="R33" s="1660">
        <v>5</v>
      </c>
      <c r="S33" s="1660">
        <v>5</v>
      </c>
      <c r="T33" s="512">
        <f>R33-S33</f>
        <v>0</v>
      </c>
      <c r="U33" s="579">
        <f>H33-R33</f>
        <v>0</v>
      </c>
      <c r="V33" s="579">
        <f t="shared" si="4"/>
        <v>0</v>
      </c>
      <c r="W33" s="579">
        <f t="shared" si="5"/>
        <v>0</v>
      </c>
      <c r="X33" s="579">
        <f t="shared" si="6"/>
        <v>0</v>
      </c>
      <c r="AC33" s="394"/>
      <c r="AD33" s="684">
        <f t="shared" si="10"/>
        <v>5</v>
      </c>
      <c r="AE33" s="684"/>
      <c r="AF33" s="615">
        <v>1</v>
      </c>
      <c r="AG33" s="615"/>
      <c r="AH33" s="615">
        <v>0</v>
      </c>
      <c r="AI33" s="687">
        <f t="shared" si="15"/>
        <v>5</v>
      </c>
      <c r="AJ33" s="615">
        <v>0</v>
      </c>
      <c r="AK33" s="687">
        <f t="shared" si="15"/>
        <v>5</v>
      </c>
      <c r="AL33" s="615">
        <v>0</v>
      </c>
      <c r="AM33" s="687">
        <f t="shared" si="15"/>
        <v>5</v>
      </c>
      <c r="AN33" s="615">
        <v>0</v>
      </c>
      <c r="AO33" s="687">
        <f t="shared" si="15"/>
        <v>5</v>
      </c>
      <c r="AP33" s="615">
        <v>0</v>
      </c>
      <c r="AQ33" s="687">
        <f t="shared" si="15"/>
        <v>5</v>
      </c>
      <c r="AR33" s="615">
        <v>1</v>
      </c>
      <c r="AS33" s="615">
        <f t="shared" si="16"/>
        <v>5</v>
      </c>
      <c r="AT33" s="685">
        <f t="shared" si="8"/>
        <v>27</v>
      </c>
    </row>
    <row r="34" spans="1:46" s="77" customFormat="1" ht="15.6" customHeight="1">
      <c r="A34" s="1603"/>
      <c r="B34" s="1603"/>
      <c r="C34" s="21">
        <v>18</v>
      </c>
      <c r="D34" s="79" t="s">
        <v>22</v>
      </c>
      <c r="E34" s="483" t="s">
        <v>544</v>
      </c>
      <c r="F34" s="643" t="s">
        <v>487</v>
      </c>
      <c r="G34" s="1590"/>
      <c r="H34" s="1658"/>
      <c r="I34" s="46"/>
      <c r="J34" s="62" t="s">
        <v>25</v>
      </c>
      <c r="K34" s="62" t="s">
        <v>25</v>
      </c>
      <c r="L34" s="46" t="s">
        <v>23</v>
      </c>
      <c r="M34" s="46" t="s">
        <v>24</v>
      </c>
      <c r="N34" s="46" t="s">
        <v>25</v>
      </c>
      <c r="O34" s="46"/>
      <c r="P34" s="46"/>
      <c r="Q34" s="1661"/>
      <c r="R34" s="1660"/>
      <c r="S34" s="1660"/>
      <c r="T34" s="512"/>
      <c r="U34" s="579"/>
      <c r="V34" s="579">
        <f t="shared" si="4"/>
        <v>0</v>
      </c>
      <c r="W34" s="579">
        <f t="shared" si="5"/>
        <v>0</v>
      </c>
      <c r="X34" s="579">
        <f t="shared" si="6"/>
        <v>0</v>
      </c>
      <c r="AC34" s="394"/>
      <c r="AD34" s="684">
        <f t="shared" si="10"/>
        <v>0</v>
      </c>
      <c r="AE34" s="684"/>
      <c r="AF34" s="615">
        <v>0</v>
      </c>
      <c r="AG34" s="615"/>
      <c r="AH34" s="615">
        <v>0</v>
      </c>
      <c r="AI34" s="687">
        <f t="shared" si="15"/>
        <v>0</v>
      </c>
      <c r="AJ34" s="615">
        <v>0</v>
      </c>
      <c r="AK34" s="687">
        <f t="shared" si="15"/>
        <v>0</v>
      </c>
      <c r="AL34" s="615">
        <v>0</v>
      </c>
      <c r="AM34" s="687">
        <f t="shared" si="15"/>
        <v>0</v>
      </c>
      <c r="AN34" s="615">
        <v>0</v>
      </c>
      <c r="AO34" s="687">
        <f t="shared" si="15"/>
        <v>0</v>
      </c>
      <c r="AP34" s="615">
        <v>0</v>
      </c>
      <c r="AQ34" s="687">
        <f t="shared" si="15"/>
        <v>0</v>
      </c>
      <c r="AR34" s="615">
        <v>1</v>
      </c>
      <c r="AS34" s="615">
        <f t="shared" si="16"/>
        <v>0</v>
      </c>
      <c r="AT34" s="685">
        <f t="shared" si="8"/>
        <v>1</v>
      </c>
    </row>
    <row r="35" spans="1:46" s="77" customFormat="1" ht="15.6" customHeight="1">
      <c r="A35" s="121" t="s">
        <v>304</v>
      </c>
      <c r="B35" s="121" t="s">
        <v>305</v>
      </c>
      <c r="C35" s="21">
        <v>19</v>
      </c>
      <c r="D35" s="79" t="s">
        <v>26</v>
      </c>
      <c r="E35" s="483" t="s">
        <v>544</v>
      </c>
      <c r="F35" s="643" t="s">
        <v>485</v>
      </c>
      <c r="G35" s="46" t="s">
        <v>1858</v>
      </c>
      <c r="H35" s="637">
        <v>5</v>
      </c>
      <c r="I35" s="46"/>
      <c r="J35" s="634">
        <v>0</v>
      </c>
      <c r="K35" s="634">
        <v>0</v>
      </c>
      <c r="L35" s="46"/>
      <c r="M35" s="46"/>
      <c r="N35" s="46"/>
      <c r="O35" s="46"/>
      <c r="P35" s="46"/>
      <c r="Q35" s="678">
        <f>IF(AND(J35=0,K35&lt;&gt;0),1,IF(AND(J35=0,K35=0),0,K35/J35-1))</f>
        <v>0</v>
      </c>
      <c r="R35" s="640">
        <f>MAX(5-K35,0)</f>
        <v>5</v>
      </c>
      <c r="S35" s="640">
        <f>MAX(5-J35,0)</f>
        <v>5</v>
      </c>
      <c r="T35" s="512">
        <f>R35-S35</f>
        <v>0</v>
      </c>
      <c r="U35" s="579">
        <f>H35-R35</f>
        <v>0</v>
      </c>
      <c r="V35" s="579">
        <f t="shared" si="4"/>
        <v>0</v>
      </c>
      <c r="W35" s="579">
        <f t="shared" si="5"/>
        <v>0</v>
      </c>
      <c r="X35" s="579">
        <f t="shared" si="6"/>
        <v>0</v>
      </c>
      <c r="AC35" s="394"/>
      <c r="AD35" s="684">
        <f t="shared" si="10"/>
        <v>5</v>
      </c>
      <c r="AE35" s="684"/>
      <c r="AF35" s="615">
        <v>0</v>
      </c>
      <c r="AG35" s="615"/>
      <c r="AH35" s="615">
        <v>0</v>
      </c>
      <c r="AI35" s="687">
        <f t="shared" si="15"/>
        <v>5</v>
      </c>
      <c r="AJ35" s="615">
        <v>0</v>
      </c>
      <c r="AK35" s="687">
        <f t="shared" si="15"/>
        <v>5</v>
      </c>
      <c r="AL35" s="615">
        <v>0</v>
      </c>
      <c r="AM35" s="687">
        <f t="shared" si="15"/>
        <v>5</v>
      </c>
      <c r="AN35" s="615">
        <v>0</v>
      </c>
      <c r="AO35" s="687">
        <f t="shared" si="15"/>
        <v>5</v>
      </c>
      <c r="AP35" s="615">
        <v>0</v>
      </c>
      <c r="AQ35" s="687">
        <f t="shared" si="15"/>
        <v>5</v>
      </c>
      <c r="AR35" s="615">
        <v>1</v>
      </c>
      <c r="AS35" s="615">
        <f t="shared" si="16"/>
        <v>5</v>
      </c>
      <c r="AT35" s="685">
        <f t="shared" si="8"/>
        <v>26</v>
      </c>
    </row>
    <row r="36" spans="1:46" s="77" customFormat="1">
      <c r="A36" s="1662" t="s">
        <v>2123</v>
      </c>
      <c r="B36" s="1662" t="s">
        <v>527</v>
      </c>
      <c r="C36" s="21">
        <v>20</v>
      </c>
      <c r="D36" s="79" t="s">
        <v>254</v>
      </c>
      <c r="E36" s="490" t="s">
        <v>256</v>
      </c>
      <c r="F36" s="643" t="s">
        <v>485</v>
      </c>
      <c r="G36" s="1591" t="s">
        <v>1860</v>
      </c>
      <c r="H36" s="1658">
        <v>10</v>
      </c>
      <c r="I36" s="46" t="s">
        <v>271</v>
      </c>
      <c r="J36" s="634">
        <v>174</v>
      </c>
      <c r="K36" s="634">
        <v>207</v>
      </c>
      <c r="L36" s="1055">
        <v>31</v>
      </c>
      <c r="M36" s="1055"/>
      <c r="N36" s="1055">
        <v>39</v>
      </c>
      <c r="O36" s="1055">
        <v>137</v>
      </c>
      <c r="P36" s="1055"/>
      <c r="Q36" s="678">
        <f>IF(AND(J36=0,K36&lt;&gt;0),1,IF(AND(J36=0,K36=0),0,K36/J36-1))</f>
        <v>0.18965517241379315</v>
      </c>
      <c r="R36" s="1659" t="str">
        <f>IF(K36=0,10,"行业排序得分")</f>
        <v>行业排序得分</v>
      </c>
      <c r="S36" s="1659" t="str">
        <f>IF(J36=0,10,"行业排序得分")</f>
        <v>行业排序得分</v>
      </c>
      <c r="T36" s="512">
        <v>0</v>
      </c>
      <c r="U36" s="1616">
        <v>10</v>
      </c>
      <c r="V36" s="1616">
        <f t="shared" si="4"/>
        <v>3</v>
      </c>
      <c r="W36" s="1616">
        <f t="shared" si="5"/>
        <v>0.33333333333333331</v>
      </c>
      <c r="X36" s="1616">
        <f t="shared" si="6"/>
        <v>0.16666666666666666</v>
      </c>
      <c r="AC36" s="394"/>
      <c r="AD36" s="684" t="str">
        <f t="shared" si="10"/>
        <v>行业排序得分</v>
      </c>
      <c r="AE36" s="686" t="s">
        <v>1640</v>
      </c>
      <c r="AF36" s="615">
        <v>0.5</v>
      </c>
      <c r="AG36" s="583">
        <f>10*(1-K36/K37*1000000*2)</f>
        <v>5.3590710499409111</v>
      </c>
      <c r="AH36" s="687">
        <v>1</v>
      </c>
      <c r="AI36" s="687">
        <v>9.1829690586360808</v>
      </c>
      <c r="AJ36" s="615">
        <v>0</v>
      </c>
      <c r="AK36" s="615"/>
      <c r="AL36" s="691">
        <v>1</v>
      </c>
      <c r="AM36" s="691">
        <v>1.8006397469159219</v>
      </c>
      <c r="AN36" s="688">
        <v>1</v>
      </c>
      <c r="AO36" s="688">
        <v>0</v>
      </c>
      <c r="AP36" s="615">
        <v>0</v>
      </c>
      <c r="AQ36" s="615">
        <v>0</v>
      </c>
      <c r="AR36" s="615">
        <v>0</v>
      </c>
      <c r="AS36" s="615"/>
      <c r="AT36" s="685">
        <f t="shared" si="8"/>
        <v>19.842679855492914</v>
      </c>
    </row>
    <row r="37" spans="1:46" s="77" customFormat="1">
      <c r="A37" s="1603"/>
      <c r="B37" s="1603"/>
      <c r="C37" s="13">
        <v>21</v>
      </c>
      <c r="D37" s="79" t="s">
        <v>6</v>
      </c>
      <c r="E37" s="490" t="s">
        <v>1053</v>
      </c>
      <c r="F37" s="643" t="s">
        <v>485</v>
      </c>
      <c r="G37" s="1591"/>
      <c r="H37" s="1658"/>
      <c r="I37" s="5" t="s">
        <v>740</v>
      </c>
      <c r="J37" s="66">
        <v>1020815605.5700001</v>
      </c>
      <c r="K37" s="66">
        <v>892062784.09999979</v>
      </c>
      <c r="L37" s="46"/>
      <c r="M37" s="46"/>
      <c r="N37" s="46"/>
      <c r="O37" s="46"/>
      <c r="P37" s="46"/>
      <c r="Q37" s="678">
        <f>IF(AND(J37=0,K37&lt;&gt;0),1,IF(AND(J37=0,K37=0),0,K37/J37-1))</f>
        <v>-0.12612740319355487</v>
      </c>
      <c r="R37" s="1659"/>
      <c r="S37" s="1659"/>
      <c r="T37" s="512"/>
      <c r="U37" s="1618"/>
      <c r="V37" s="1618"/>
      <c r="W37" s="1618"/>
      <c r="X37" s="1618"/>
      <c r="AC37" s="394"/>
      <c r="AD37" s="684">
        <f t="shared" si="10"/>
        <v>0</v>
      </c>
      <c r="AE37" s="684"/>
      <c r="AF37" s="615"/>
      <c r="AG37" s="615"/>
      <c r="AH37" s="615"/>
      <c r="AI37" s="615"/>
      <c r="AJ37" s="615"/>
      <c r="AK37" s="615"/>
      <c r="AL37" s="691"/>
      <c r="AM37" s="691"/>
      <c r="AN37" s="615"/>
      <c r="AO37" s="615"/>
      <c r="AP37" s="615"/>
      <c r="AQ37" s="615"/>
      <c r="AR37" s="615"/>
      <c r="AS37" s="615"/>
      <c r="AT37" s="616"/>
    </row>
    <row r="38" spans="1:46" s="81" customFormat="1" ht="15.6" customHeight="1">
      <c r="A38" s="79"/>
      <c r="B38" s="79"/>
      <c r="C38" s="698"/>
      <c r="D38" s="608" t="s">
        <v>278</v>
      </c>
      <c r="E38" s="697"/>
      <c r="F38" s="71"/>
      <c r="G38" s="696"/>
      <c r="H38" s="695">
        <v>97</v>
      </c>
      <c r="I38" s="80"/>
      <c r="J38" s="190"/>
      <c r="K38" s="190"/>
      <c r="L38" s="697"/>
      <c r="M38" s="80"/>
      <c r="N38" s="80"/>
      <c r="O38" s="80"/>
      <c r="P38" s="80"/>
      <c r="Q38" s="80"/>
      <c r="R38" s="785">
        <f>SUBTOTAL(9,R4:R37)</f>
        <v>50.421819830909271</v>
      </c>
      <c r="S38" s="785">
        <f>SUBTOTAL(9,S4:S37)</f>
        <v>50.756814000256725</v>
      </c>
      <c r="T38" s="718">
        <f>SUM(T4:T37)</f>
        <v>7.6650058306525466</v>
      </c>
      <c r="U38" s="852">
        <f>SUM(U4:U37)</f>
        <v>46.578180169090729</v>
      </c>
      <c r="V38" s="853">
        <f>U38*0.3</f>
        <v>13.973454050727218</v>
      </c>
      <c r="W38" s="853">
        <f t="shared" si="5"/>
        <v>1.5526060056363575</v>
      </c>
      <c r="X38" s="853">
        <f t="shared" si="6"/>
        <v>0.77630300281817877</v>
      </c>
      <c r="Y38" s="77" t="s">
        <v>1882</v>
      </c>
      <c r="Z38" s="77"/>
      <c r="AA38" s="77"/>
      <c r="AB38" s="77"/>
      <c r="AC38" s="53"/>
      <c r="AD38" s="692"/>
      <c r="AE38" s="692"/>
      <c r="AF38" s="619"/>
      <c r="AG38" s="619"/>
      <c r="AH38" s="619"/>
      <c r="AI38" s="619"/>
      <c r="AJ38" s="619"/>
      <c r="AK38" s="619"/>
      <c r="AL38" s="693"/>
      <c r="AM38" s="693"/>
      <c r="AN38" s="619"/>
      <c r="AO38" s="619"/>
      <c r="AP38" s="619"/>
      <c r="AQ38" s="619"/>
      <c r="AR38" s="619"/>
      <c r="AS38" s="619"/>
      <c r="AT38" s="692"/>
    </row>
    <row r="39" spans="1:46" s="81" customFormat="1" ht="15.6" customHeight="1">
      <c r="A39" s="192"/>
      <c r="B39" s="192"/>
      <c r="C39" s="191"/>
      <c r="D39" s="608" t="s">
        <v>1864</v>
      </c>
      <c r="E39" s="194"/>
      <c r="F39" s="193"/>
      <c r="G39" s="194"/>
      <c r="H39" s="695">
        <v>50</v>
      </c>
      <c r="I39" s="194"/>
      <c r="J39" s="195"/>
      <c r="K39" s="195"/>
      <c r="L39" s="194"/>
      <c r="M39" s="194"/>
      <c r="N39" s="194"/>
      <c r="O39" s="194"/>
      <c r="P39" s="194"/>
      <c r="Q39" s="719">
        <f>H39-R39-U39</f>
        <v>0</v>
      </c>
      <c r="R39" s="718">
        <f>R16+SUM(R22:R23)+SUM(R27:R35)</f>
        <v>44.421819830909271</v>
      </c>
      <c r="S39" s="718">
        <f>S16+SUM(S22:S23)+SUM(S27:S35)</f>
        <v>44.756814000256725</v>
      </c>
      <c r="T39" s="276"/>
      <c r="U39" s="854">
        <f>U16+SUM(U22:U23)+SUM(U27:U35)</f>
        <v>5.5781801690907287</v>
      </c>
      <c r="V39" s="853">
        <f t="shared" ref="V39:V41" si="17">U39*0.3</f>
        <v>1.6734540507272186</v>
      </c>
      <c r="W39" s="853">
        <f t="shared" si="5"/>
        <v>0.18593933896969095</v>
      </c>
      <c r="X39" s="853">
        <f t="shared" si="6"/>
        <v>9.2969669484845474E-2</v>
      </c>
      <c r="Y39" s="851" t="s">
        <v>1869</v>
      </c>
      <c r="Z39" s="720"/>
      <c r="AA39" s="720"/>
      <c r="AB39" s="720"/>
      <c r="AC39" s="701"/>
      <c r="AD39" s="692"/>
      <c r="AE39" s="692"/>
      <c r="AF39" s="619"/>
      <c r="AG39" s="619"/>
      <c r="AH39" s="619"/>
      <c r="AI39" s="619"/>
      <c r="AJ39" s="619"/>
      <c r="AK39" s="619"/>
      <c r="AL39" s="693"/>
      <c r="AM39" s="693"/>
      <c r="AN39" s="619"/>
      <c r="AO39" s="619"/>
      <c r="AP39" s="619"/>
      <c r="AQ39" s="619"/>
      <c r="AR39" s="619"/>
      <c r="AS39" s="619"/>
      <c r="AT39" s="692"/>
    </row>
    <row r="40" spans="1:46" s="81" customFormat="1" ht="15.6" customHeight="1">
      <c r="A40" s="192"/>
      <c r="B40" s="192"/>
      <c r="C40" s="191"/>
      <c r="D40" s="608" t="s">
        <v>1865</v>
      </c>
      <c r="E40" s="194"/>
      <c r="F40" s="193"/>
      <c r="H40" s="695">
        <v>33</v>
      </c>
      <c r="I40" s="194"/>
      <c r="J40" s="195"/>
      <c r="K40" s="195"/>
      <c r="L40" s="194"/>
      <c r="M40" s="194"/>
      <c r="N40" s="194"/>
      <c r="O40" s="194"/>
      <c r="P40" s="194"/>
      <c r="Q40" s="700">
        <f>H40-R40-U40</f>
        <v>0</v>
      </c>
      <c r="R40" s="718">
        <v>0</v>
      </c>
      <c r="S40" s="718">
        <v>0</v>
      </c>
      <c r="U40" s="854">
        <f>U4+U8+U11+U19+U36</f>
        <v>33</v>
      </c>
      <c r="V40" s="853">
        <f t="shared" si="17"/>
        <v>9.9</v>
      </c>
      <c r="W40" s="853">
        <f t="shared" si="5"/>
        <v>1.1000000000000001</v>
      </c>
      <c r="X40" s="853">
        <f t="shared" si="6"/>
        <v>0.55000000000000004</v>
      </c>
      <c r="Y40" s="851" t="s">
        <v>1867</v>
      </c>
      <c r="Z40" s="720"/>
      <c r="AA40" s="720"/>
      <c r="AB40" s="720"/>
      <c r="AC40" s="53"/>
      <c r="AD40" s="692"/>
      <c r="AE40" s="692"/>
      <c r="AF40" s="619"/>
      <c r="AG40" s="619"/>
      <c r="AH40" s="619"/>
      <c r="AI40" s="619"/>
      <c r="AJ40" s="619"/>
      <c r="AK40" s="619"/>
      <c r="AL40" s="693"/>
      <c r="AM40" s="693"/>
      <c r="AN40" s="619"/>
      <c r="AO40" s="619"/>
      <c r="AP40" s="619"/>
      <c r="AQ40" s="619"/>
      <c r="AR40" s="619"/>
      <c r="AS40" s="619"/>
      <c r="AT40" s="692"/>
    </row>
    <row r="41" spans="1:46" s="81" customFormat="1" ht="15.6" customHeight="1">
      <c r="A41" s="192"/>
      <c r="B41" s="192"/>
      <c r="C41" s="191"/>
      <c r="D41" s="608" t="s">
        <v>1866</v>
      </c>
      <c r="E41" s="194"/>
      <c r="F41" s="193"/>
      <c r="H41" s="695">
        <v>14</v>
      </c>
      <c r="I41" s="194"/>
      <c r="J41" s="195"/>
      <c r="K41" s="195"/>
      <c r="L41" s="194"/>
      <c r="M41" s="194"/>
      <c r="N41" s="194"/>
      <c r="O41" s="194"/>
      <c r="P41" s="194"/>
      <c r="Q41" s="700">
        <f>H41-R41-U41</f>
        <v>0</v>
      </c>
      <c r="R41" s="718">
        <v>6</v>
      </c>
      <c r="S41" s="718">
        <v>6</v>
      </c>
      <c r="U41" s="854">
        <f>U8+U14</f>
        <v>8</v>
      </c>
      <c r="V41" s="853">
        <f t="shared" si="17"/>
        <v>2.4</v>
      </c>
      <c r="W41" s="853">
        <f t="shared" si="5"/>
        <v>0.26666666666666666</v>
      </c>
      <c r="X41" s="853">
        <f t="shared" si="6"/>
        <v>0.13333333333333333</v>
      </c>
      <c r="Y41" s="851" t="s">
        <v>1868</v>
      </c>
      <c r="Z41" s="720"/>
      <c r="AA41" s="720"/>
      <c r="AB41" s="720"/>
      <c r="AC41" s="53"/>
      <c r="AD41" s="692"/>
      <c r="AE41" s="692"/>
      <c r="AF41" s="619"/>
      <c r="AG41" s="619"/>
      <c r="AH41" s="619"/>
      <c r="AI41" s="619"/>
      <c r="AJ41" s="619"/>
      <c r="AK41" s="619"/>
      <c r="AL41" s="693"/>
      <c r="AM41" s="693"/>
      <c r="AN41" s="619"/>
      <c r="AO41" s="619"/>
      <c r="AP41" s="619"/>
      <c r="AQ41" s="619"/>
      <c r="AR41" s="619"/>
      <c r="AS41" s="619"/>
      <c r="AT41" s="692"/>
    </row>
    <row r="42" spans="1:46" s="81" customFormat="1" ht="15.6" customHeight="1">
      <c r="A42" s="192"/>
      <c r="B42" s="192"/>
      <c r="C42" s="191"/>
      <c r="D42" s="564" t="s">
        <v>1881</v>
      </c>
      <c r="R42" s="718">
        <f>R41+R40</f>
        <v>6</v>
      </c>
      <c r="S42" s="718">
        <f>S41+S40</f>
        <v>6</v>
      </c>
      <c r="Y42" s="77"/>
      <c r="Z42" s="77"/>
      <c r="AA42" s="77"/>
      <c r="AB42" s="77"/>
      <c r="AC42" s="53"/>
      <c r="AD42" s="692"/>
      <c r="AE42" s="692"/>
      <c r="AF42" s="619"/>
      <c r="AG42" s="619"/>
      <c r="AH42" s="619"/>
      <c r="AI42" s="619"/>
      <c r="AJ42" s="619"/>
      <c r="AK42" s="619"/>
      <c r="AL42" s="693"/>
      <c r="AM42" s="693"/>
      <c r="AN42" s="619"/>
      <c r="AO42" s="619"/>
      <c r="AP42" s="619"/>
      <c r="AQ42" s="619"/>
      <c r="AR42" s="619"/>
      <c r="AS42" s="619"/>
      <c r="AT42" s="692"/>
    </row>
    <row r="43" spans="1:46" s="2" customFormat="1" ht="15.6" customHeight="1">
      <c r="A43" s="18"/>
      <c r="B43" s="18"/>
      <c r="C43" s="7"/>
      <c r="D43" s="564" t="s">
        <v>552</v>
      </c>
      <c r="F43" s="94"/>
      <c r="H43" s="699"/>
      <c r="J43" s="24"/>
      <c r="K43" s="24"/>
      <c r="R43" s="718">
        <f>$H$40+$H$41-R42</f>
        <v>41</v>
      </c>
      <c r="S43" s="718">
        <f>$H$40+$H$41-S42</f>
        <v>41</v>
      </c>
      <c r="AC43" s="18"/>
      <c r="AD43" s="585"/>
      <c r="AE43" s="585"/>
      <c r="AF43" s="583"/>
      <c r="AG43" s="583"/>
      <c r="AH43" s="583"/>
      <c r="AI43" s="583"/>
      <c r="AJ43" s="583"/>
      <c r="AK43" s="583"/>
      <c r="AL43" s="689"/>
      <c r="AM43" s="689"/>
      <c r="AN43" s="583"/>
      <c r="AO43" s="583"/>
      <c r="AP43" s="583"/>
      <c r="AQ43" s="583"/>
      <c r="AR43" s="583"/>
      <c r="AS43" s="583"/>
      <c r="AT43" s="585"/>
    </row>
    <row r="44" spans="1:46" s="2" customFormat="1" ht="15.6" customHeight="1">
      <c r="A44" s="18"/>
      <c r="B44" s="18"/>
      <c r="C44" s="7"/>
      <c r="D44" s="564" t="s">
        <v>551</v>
      </c>
      <c r="F44" s="94"/>
      <c r="H44" s="816">
        <v>3</v>
      </c>
      <c r="J44" s="24"/>
      <c r="K44" s="24"/>
      <c r="R44" s="718">
        <v>3</v>
      </c>
      <c r="S44" s="718">
        <v>3</v>
      </c>
      <c r="AC44" s="18"/>
      <c r="AD44" s="585"/>
      <c r="AE44" s="585"/>
      <c r="AF44" s="583"/>
      <c r="AG44" s="583"/>
      <c r="AH44" s="583"/>
      <c r="AI44" s="583"/>
      <c r="AJ44" s="583"/>
      <c r="AK44" s="583"/>
      <c r="AL44" s="689"/>
      <c r="AM44" s="689"/>
      <c r="AN44" s="583"/>
      <c r="AO44" s="583"/>
      <c r="AP44" s="583"/>
      <c r="AQ44" s="583"/>
      <c r="AR44" s="583"/>
      <c r="AS44" s="583"/>
      <c r="AT44" s="585"/>
    </row>
    <row r="45" spans="1:46" s="2" customFormat="1" ht="15.6" customHeight="1">
      <c r="A45" s="18"/>
      <c r="B45" s="18"/>
      <c r="C45" s="7"/>
      <c r="D45" s="564" t="s">
        <v>553</v>
      </c>
      <c r="F45" s="94"/>
      <c r="H45" s="699"/>
      <c r="J45" s="24"/>
      <c r="K45" s="24"/>
      <c r="R45" s="718">
        <f>100-SUM(R39:R41)-R44</f>
        <v>46.578180169090729</v>
      </c>
      <c r="S45" s="718">
        <f>100-SUM(S39:S41)-S44</f>
        <v>46.243185999743275</v>
      </c>
      <c r="AC45" s="18"/>
      <c r="AD45" s="585"/>
      <c r="AE45" s="585"/>
      <c r="AF45" s="583"/>
      <c r="AG45" s="583"/>
      <c r="AH45" s="583"/>
      <c r="AI45" s="583"/>
      <c r="AJ45" s="583"/>
      <c r="AK45" s="583"/>
      <c r="AL45" s="689"/>
      <c r="AM45" s="689"/>
      <c r="AN45" s="583"/>
      <c r="AO45" s="583"/>
      <c r="AP45" s="583"/>
      <c r="AQ45" s="583"/>
      <c r="AR45" s="583"/>
      <c r="AS45" s="583"/>
      <c r="AT45" s="585"/>
    </row>
    <row r="46" spans="1:46" s="2" customFormat="1" ht="14.25">
      <c r="A46" s="18"/>
      <c r="B46" s="18"/>
      <c r="C46" s="7"/>
      <c r="D46" s="18"/>
      <c r="F46" s="94"/>
      <c r="J46" s="24"/>
      <c r="K46" s="24"/>
      <c r="AC46" s="18"/>
      <c r="AD46" s="585" t="s">
        <v>1477</v>
      </c>
      <c r="AE46" s="585"/>
      <c r="AF46" s="583"/>
      <c r="AG46" s="583">
        <f>SUMPRODUCT(AF4:AF36,AG4:AG36)</f>
        <v>11.101355355879727</v>
      </c>
      <c r="AH46" s="583"/>
      <c r="AI46" s="583">
        <f>SUMPRODUCT(AH4:AH36,AI4:AI36)</f>
        <v>60.881827370750955</v>
      </c>
      <c r="AJ46" s="583"/>
      <c r="AK46" s="583">
        <f>SUMPRODUCT(AJ4:AJ36,AK4:AK36)</f>
        <v>47.155239014968615</v>
      </c>
      <c r="AL46" s="689"/>
      <c r="AM46" s="583">
        <f>SUMPRODUCT(AL4:AL36,AM4:AM36)</f>
        <v>48.946141169598683</v>
      </c>
      <c r="AN46" s="583"/>
      <c r="AO46" s="583">
        <f>SUMPRODUCT(AN4:AN36,AO4:AO36)</f>
        <v>54.106315238779338</v>
      </c>
      <c r="AP46" s="583"/>
      <c r="AQ46" s="583">
        <f>SUMPRODUCT(AP4:AP36,AQ4:AQ36)</f>
        <v>56.835879656833939</v>
      </c>
      <c r="AR46" s="583"/>
      <c r="AS46" s="583">
        <f>SUMPRODUCT(AR4:AR36,AS4:AS36)</f>
        <v>15</v>
      </c>
      <c r="AT46" s="585"/>
    </row>
    <row r="47" spans="1:46" s="2" customFormat="1" ht="14.25">
      <c r="A47" s="18"/>
      <c r="B47" s="18"/>
      <c r="C47" s="7"/>
      <c r="D47" s="18"/>
      <c r="F47" s="94"/>
      <c r="J47" s="24"/>
      <c r="K47" s="447"/>
      <c r="AC47" s="18"/>
      <c r="AD47" s="585" t="s">
        <v>1476</v>
      </c>
      <c r="AE47" s="585"/>
      <c r="AF47" s="583"/>
      <c r="AG47" s="583">
        <f>SUMPRODUCT(AF4:AF36,$H$4:$H$36)</f>
        <v>20</v>
      </c>
      <c r="AH47" s="583"/>
      <c r="AI47" s="583">
        <f>SUMPRODUCT(AH4:AH36,$H$4:$H$36)</f>
        <v>76</v>
      </c>
      <c r="AJ47" s="583"/>
      <c r="AK47" s="583">
        <f>SUMPRODUCT(AJ4:AJ36,$H$4:$H$36)</f>
        <v>60</v>
      </c>
      <c r="AL47" s="583"/>
      <c r="AM47" s="583">
        <f>SUMPRODUCT(AL4:AL36,$H$4:$H$36)</f>
        <v>76</v>
      </c>
      <c r="AN47" s="583"/>
      <c r="AO47" s="583">
        <f>SUMPRODUCT(AN4:AN36,$H$4:$H$36)</f>
        <v>76</v>
      </c>
      <c r="AP47" s="583"/>
      <c r="AQ47" s="583">
        <f>SUMPRODUCT(AP4:AP36,$H$4:$H$36)</f>
        <v>66</v>
      </c>
      <c r="AR47" s="583"/>
      <c r="AS47" s="583">
        <f>SUMPRODUCT(AR4:AR36,$H$4:$H$36)</f>
        <v>15</v>
      </c>
      <c r="AT47" s="585"/>
    </row>
    <row r="48" spans="1:46" s="2" customFormat="1" ht="14.25">
      <c r="A48" s="24"/>
      <c r="B48" s="24"/>
      <c r="C48" s="7"/>
      <c r="D48" s="881" t="s">
        <v>1960</v>
      </c>
      <c r="F48" s="94"/>
      <c r="J48" s="24"/>
      <c r="K48" s="24"/>
      <c r="AC48" s="18"/>
      <c r="AD48" s="585"/>
      <c r="AE48" s="585"/>
      <c r="AF48" s="583"/>
      <c r="AG48" s="583"/>
      <c r="AH48" s="583"/>
      <c r="AI48" s="583"/>
      <c r="AJ48" s="583"/>
      <c r="AK48" s="583"/>
      <c r="AL48" s="689"/>
      <c r="AM48" s="689"/>
      <c r="AN48" s="583"/>
      <c r="AO48" s="583"/>
      <c r="AP48" s="583"/>
      <c r="AQ48" s="583"/>
      <c r="AR48" s="583"/>
      <c r="AS48" s="583"/>
      <c r="AT48" s="585"/>
    </row>
    <row r="49" spans="1:46" s="2" customFormat="1" ht="14.25">
      <c r="A49" s="24"/>
      <c r="B49" s="24"/>
      <c r="C49" s="7"/>
      <c r="D49" s="893" t="s">
        <v>2008</v>
      </c>
      <c r="F49" s="94"/>
      <c r="AC49" s="18"/>
      <c r="AD49" s="585"/>
      <c r="AE49" s="585"/>
      <c r="AF49" s="583"/>
      <c r="AG49" s="583"/>
      <c r="AH49" s="583"/>
      <c r="AI49" s="583"/>
      <c r="AJ49" s="583"/>
      <c r="AK49" s="583"/>
      <c r="AL49" s="689"/>
      <c r="AM49" s="689"/>
      <c r="AN49" s="583"/>
      <c r="AO49" s="583"/>
      <c r="AP49" s="583"/>
      <c r="AQ49" s="583"/>
      <c r="AR49" s="583"/>
      <c r="AS49" s="583"/>
      <c r="AT49" s="585"/>
    </row>
    <row r="50" spans="1:46" s="2" customFormat="1" ht="14.25">
      <c r="A50" s="24"/>
      <c r="B50" s="24"/>
      <c r="C50" s="7"/>
      <c r="D50" s="18"/>
      <c r="F50" s="94"/>
      <c r="AC50" s="18"/>
      <c r="AD50" s="585"/>
      <c r="AE50" s="585"/>
      <c r="AF50" s="583"/>
      <c r="AG50" s="583"/>
      <c r="AH50" s="583"/>
      <c r="AI50" s="583"/>
      <c r="AJ50" s="583"/>
      <c r="AK50" s="583"/>
      <c r="AL50" s="689"/>
      <c r="AM50" s="689"/>
      <c r="AN50" s="583"/>
      <c r="AO50" s="583"/>
      <c r="AP50" s="583"/>
      <c r="AQ50" s="583"/>
      <c r="AR50" s="583"/>
      <c r="AS50" s="583"/>
      <c r="AT50" s="585"/>
    </row>
    <row r="51" spans="1:46" s="2" customFormat="1" ht="14.25">
      <c r="A51" s="24"/>
      <c r="B51" s="24"/>
      <c r="C51" s="7"/>
      <c r="D51" s="24"/>
      <c r="F51" s="94"/>
      <c r="AC51" s="18"/>
      <c r="AD51" s="585"/>
      <c r="AE51" s="585"/>
      <c r="AF51" s="583"/>
      <c r="AG51" s="583"/>
      <c r="AH51" s="583"/>
      <c r="AI51" s="583"/>
      <c r="AJ51" s="583"/>
      <c r="AK51" s="583"/>
      <c r="AL51" s="689"/>
      <c r="AM51" s="689"/>
      <c r="AN51" s="583"/>
      <c r="AO51" s="583"/>
      <c r="AP51" s="583"/>
      <c r="AQ51" s="583"/>
      <c r="AR51" s="583"/>
      <c r="AS51" s="583"/>
      <c r="AT51" s="585"/>
    </row>
    <row r="52" spans="1:46" s="2" customFormat="1" ht="14.25">
      <c r="A52" s="24"/>
      <c r="B52" s="24"/>
      <c r="C52" s="7"/>
      <c r="D52" s="24"/>
      <c r="F52" s="94"/>
      <c r="AC52" s="18"/>
      <c r="AD52" s="585"/>
      <c r="AE52" s="585"/>
      <c r="AF52" s="583"/>
      <c r="AG52" s="583"/>
      <c r="AH52" s="583"/>
      <c r="AI52" s="583"/>
      <c r="AJ52" s="583"/>
      <c r="AK52" s="583"/>
      <c r="AL52" s="689"/>
      <c r="AM52" s="689"/>
      <c r="AN52" s="583"/>
      <c r="AO52" s="583"/>
      <c r="AP52" s="583"/>
      <c r="AQ52" s="583"/>
      <c r="AR52" s="583"/>
      <c r="AS52" s="583"/>
      <c r="AT52" s="585"/>
    </row>
    <row r="53" spans="1:46" s="2" customFormat="1" ht="14.25">
      <c r="A53" s="24"/>
      <c r="B53" s="24"/>
      <c r="C53" s="7"/>
      <c r="D53" s="24"/>
      <c r="F53" s="94"/>
      <c r="AC53" s="18"/>
      <c r="AD53" s="585"/>
      <c r="AE53" s="585"/>
      <c r="AF53" s="583"/>
      <c r="AG53" s="583"/>
      <c r="AH53" s="583"/>
      <c r="AI53" s="583"/>
      <c r="AJ53" s="583"/>
      <c r="AK53" s="583"/>
      <c r="AL53" s="689"/>
      <c r="AM53" s="689"/>
      <c r="AN53" s="583"/>
      <c r="AO53" s="583"/>
      <c r="AP53" s="583"/>
      <c r="AQ53" s="583"/>
      <c r="AR53" s="583"/>
      <c r="AS53" s="583"/>
      <c r="AT53" s="585"/>
    </row>
    <row r="54" spans="1:46" s="2" customFormat="1" ht="14.25">
      <c r="A54" s="24"/>
      <c r="B54" s="24"/>
      <c r="C54" s="7"/>
      <c r="D54" s="24"/>
      <c r="F54" s="94"/>
      <c r="AC54" s="18"/>
      <c r="AD54" s="585"/>
      <c r="AE54" s="585"/>
      <c r="AF54" s="583"/>
      <c r="AG54" s="583"/>
      <c r="AH54" s="583"/>
      <c r="AI54" s="583"/>
      <c r="AJ54" s="583"/>
      <c r="AK54" s="583"/>
      <c r="AL54" s="689"/>
      <c r="AM54" s="689"/>
      <c r="AN54" s="583"/>
      <c r="AO54" s="583"/>
      <c r="AP54" s="583"/>
      <c r="AQ54" s="583"/>
      <c r="AR54" s="583"/>
      <c r="AS54" s="583"/>
      <c r="AT54" s="585"/>
    </row>
    <row r="55" spans="1:46" s="2" customFormat="1" ht="14.25">
      <c r="A55" s="24"/>
      <c r="B55" s="24"/>
      <c r="C55" s="7"/>
      <c r="D55" s="24"/>
      <c r="F55" s="94"/>
      <c r="AC55" s="18"/>
      <c r="AD55" s="585"/>
      <c r="AE55" s="585"/>
      <c r="AF55" s="583"/>
      <c r="AG55" s="583"/>
      <c r="AH55" s="583"/>
      <c r="AI55" s="583"/>
      <c r="AJ55" s="583"/>
      <c r="AK55" s="583"/>
      <c r="AL55" s="689"/>
      <c r="AM55" s="689"/>
      <c r="AN55" s="583"/>
      <c r="AO55" s="583"/>
      <c r="AP55" s="583"/>
      <c r="AQ55" s="583"/>
      <c r="AR55" s="583"/>
      <c r="AS55" s="583"/>
      <c r="AT55" s="585"/>
    </row>
    <row r="56" spans="1:46" s="2" customFormat="1" ht="14.25">
      <c r="A56" s="24"/>
      <c r="B56" s="24"/>
      <c r="C56" s="7"/>
      <c r="D56" s="24"/>
      <c r="F56" s="94"/>
      <c r="AC56" s="18"/>
      <c r="AD56" s="585"/>
      <c r="AE56" s="585"/>
      <c r="AF56" s="583"/>
      <c r="AG56" s="583"/>
      <c r="AH56" s="583"/>
      <c r="AI56" s="583"/>
      <c r="AJ56" s="583"/>
      <c r="AK56" s="583"/>
      <c r="AL56" s="689"/>
      <c r="AM56" s="689"/>
      <c r="AN56" s="583"/>
      <c r="AO56" s="583"/>
      <c r="AP56" s="583"/>
      <c r="AQ56" s="583"/>
      <c r="AR56" s="583"/>
      <c r="AS56" s="583"/>
      <c r="AT56" s="585"/>
    </row>
    <row r="57" spans="1:46" s="2" customFormat="1" ht="14.25">
      <c r="A57" s="24"/>
      <c r="B57" s="24"/>
      <c r="C57" s="7"/>
      <c r="D57" s="24"/>
      <c r="F57" s="94"/>
      <c r="AC57" s="18"/>
      <c r="AD57" s="585"/>
      <c r="AE57" s="585"/>
      <c r="AF57" s="583"/>
      <c r="AG57" s="583"/>
      <c r="AH57" s="583"/>
      <c r="AI57" s="583"/>
      <c r="AJ57" s="583"/>
      <c r="AK57" s="583"/>
      <c r="AL57" s="689"/>
      <c r="AM57" s="689"/>
      <c r="AN57" s="583"/>
      <c r="AO57" s="583"/>
      <c r="AP57" s="583"/>
      <c r="AQ57" s="583"/>
      <c r="AR57" s="583"/>
      <c r="AS57" s="583"/>
      <c r="AT57" s="585"/>
    </row>
    <row r="58" spans="1:46" s="2" customFormat="1" ht="14.25">
      <c r="A58" s="24"/>
      <c r="B58" s="24"/>
      <c r="C58" s="7"/>
      <c r="D58" s="24"/>
      <c r="F58" s="94"/>
      <c r="AC58" s="18"/>
      <c r="AD58" s="585"/>
      <c r="AE58" s="585"/>
      <c r="AF58" s="583"/>
      <c r="AG58" s="583"/>
      <c r="AH58" s="583"/>
      <c r="AI58" s="583"/>
      <c r="AJ58" s="583"/>
      <c r="AK58" s="583"/>
      <c r="AL58" s="689"/>
      <c r="AM58" s="689"/>
      <c r="AN58" s="583"/>
      <c r="AO58" s="583"/>
      <c r="AP58" s="583"/>
      <c r="AQ58" s="583"/>
      <c r="AR58" s="583"/>
      <c r="AS58" s="583"/>
      <c r="AT58" s="585"/>
    </row>
    <row r="59" spans="1:46" s="2" customFormat="1" ht="14.25">
      <c r="A59" s="24"/>
      <c r="B59" s="24"/>
      <c r="C59" s="7"/>
      <c r="D59" s="24"/>
      <c r="F59" s="94"/>
      <c r="AC59" s="18"/>
      <c r="AD59" s="585"/>
      <c r="AE59" s="585"/>
      <c r="AF59" s="583"/>
      <c r="AG59" s="583"/>
      <c r="AH59" s="583"/>
      <c r="AI59" s="583"/>
      <c r="AJ59" s="583"/>
      <c r="AK59" s="583"/>
      <c r="AL59" s="689"/>
      <c r="AM59" s="689"/>
      <c r="AN59" s="583"/>
      <c r="AO59" s="583"/>
      <c r="AP59" s="583"/>
      <c r="AQ59" s="583"/>
      <c r="AR59" s="583"/>
      <c r="AS59" s="583"/>
      <c r="AT59" s="585"/>
    </row>
    <row r="60" spans="1:46" s="2" customFormat="1" ht="14.25">
      <c r="A60" s="24"/>
      <c r="B60" s="24"/>
      <c r="C60" s="7"/>
      <c r="D60" s="24"/>
      <c r="F60" s="94"/>
      <c r="AC60" s="18"/>
      <c r="AD60" s="585"/>
      <c r="AE60" s="585"/>
      <c r="AF60" s="583"/>
      <c r="AG60" s="583"/>
      <c r="AH60" s="583"/>
      <c r="AI60" s="583"/>
      <c r="AJ60" s="583"/>
      <c r="AK60" s="583"/>
      <c r="AL60" s="689"/>
      <c r="AM60" s="689"/>
      <c r="AN60" s="583"/>
      <c r="AO60" s="583"/>
      <c r="AP60" s="583"/>
      <c r="AQ60" s="583"/>
      <c r="AR60" s="583"/>
      <c r="AS60" s="583"/>
      <c r="AT60" s="585"/>
    </row>
    <row r="61" spans="1:46" s="2" customFormat="1" ht="14.25">
      <c r="A61" s="24"/>
      <c r="B61" s="24"/>
      <c r="C61" s="7"/>
      <c r="D61" s="24"/>
      <c r="F61" s="94"/>
      <c r="AC61" s="18"/>
      <c r="AD61" s="585"/>
      <c r="AE61" s="585"/>
      <c r="AF61" s="583"/>
      <c r="AG61" s="583"/>
      <c r="AH61" s="583"/>
      <c r="AI61" s="583"/>
      <c r="AJ61" s="583"/>
      <c r="AK61" s="583"/>
      <c r="AL61" s="689"/>
      <c r="AM61" s="689"/>
      <c r="AN61" s="583"/>
      <c r="AO61" s="583"/>
      <c r="AP61" s="583"/>
      <c r="AQ61" s="583"/>
      <c r="AR61" s="583"/>
      <c r="AS61" s="583"/>
      <c r="AT61" s="585"/>
    </row>
    <row r="62" spans="1:46" s="2" customFormat="1" ht="14.25">
      <c r="A62" s="24"/>
      <c r="B62" s="24"/>
      <c r="C62" s="7"/>
      <c r="D62" s="24"/>
      <c r="F62" s="94"/>
      <c r="AC62" s="18"/>
      <c r="AD62" s="585"/>
      <c r="AE62" s="585"/>
      <c r="AF62" s="583"/>
      <c r="AG62" s="583"/>
      <c r="AH62" s="583"/>
      <c r="AI62" s="583"/>
      <c r="AJ62" s="583"/>
      <c r="AK62" s="583"/>
      <c r="AL62" s="689"/>
      <c r="AM62" s="689"/>
      <c r="AN62" s="583"/>
      <c r="AO62" s="583"/>
      <c r="AP62" s="583"/>
      <c r="AQ62" s="583"/>
      <c r="AR62" s="583"/>
      <c r="AS62" s="583"/>
      <c r="AT62" s="585"/>
    </row>
    <row r="63" spans="1:46" s="2" customFormat="1" ht="14.25">
      <c r="A63" s="24"/>
      <c r="B63" s="24"/>
      <c r="C63" s="7"/>
      <c r="D63" s="24"/>
      <c r="F63" s="94"/>
      <c r="AC63" s="18"/>
      <c r="AD63" s="585"/>
      <c r="AE63" s="585"/>
      <c r="AF63" s="583"/>
      <c r="AG63" s="583"/>
      <c r="AH63" s="583"/>
      <c r="AI63" s="583"/>
      <c r="AJ63" s="583"/>
      <c r="AK63" s="583"/>
      <c r="AL63" s="689"/>
      <c r="AM63" s="689"/>
      <c r="AN63" s="583"/>
      <c r="AO63" s="583"/>
      <c r="AP63" s="583"/>
      <c r="AQ63" s="583"/>
      <c r="AR63" s="583"/>
      <c r="AS63" s="583"/>
      <c r="AT63" s="585"/>
    </row>
    <row r="64" spans="1:46" s="2" customFormat="1" ht="14.25">
      <c r="A64" s="24"/>
      <c r="B64" s="24"/>
      <c r="C64" s="7"/>
      <c r="D64" s="24"/>
      <c r="F64" s="94"/>
      <c r="AC64" s="18"/>
      <c r="AD64" s="585"/>
      <c r="AE64" s="585"/>
      <c r="AF64" s="583"/>
      <c r="AG64" s="583"/>
      <c r="AH64" s="583"/>
      <c r="AI64" s="583"/>
      <c r="AJ64" s="583"/>
      <c r="AK64" s="583"/>
      <c r="AL64" s="689"/>
      <c r="AM64" s="689"/>
      <c r="AN64" s="583"/>
      <c r="AO64" s="583"/>
      <c r="AP64" s="583"/>
      <c r="AQ64" s="583"/>
      <c r="AR64" s="583"/>
      <c r="AS64" s="583"/>
      <c r="AT64" s="585"/>
    </row>
    <row r="65" spans="1:46" s="2" customFormat="1" ht="14.25">
      <c r="A65" s="24"/>
      <c r="B65" s="24"/>
      <c r="C65" s="7"/>
      <c r="D65" s="24"/>
      <c r="F65" s="94"/>
      <c r="AC65" s="18"/>
      <c r="AD65" s="585"/>
      <c r="AE65" s="585"/>
      <c r="AF65" s="583"/>
      <c r="AG65" s="583"/>
      <c r="AH65" s="583"/>
      <c r="AI65" s="583"/>
      <c r="AJ65" s="583"/>
      <c r="AK65" s="583"/>
      <c r="AL65" s="689"/>
      <c r="AM65" s="689"/>
      <c r="AN65" s="583"/>
      <c r="AO65" s="583"/>
      <c r="AP65" s="583"/>
      <c r="AQ65" s="583"/>
      <c r="AR65" s="583"/>
      <c r="AS65" s="583"/>
      <c r="AT65" s="585"/>
    </row>
    <row r="66" spans="1:46" s="2" customFormat="1" ht="14.25">
      <c r="A66" s="24"/>
      <c r="B66" s="24"/>
      <c r="C66" s="7"/>
      <c r="D66" s="24"/>
      <c r="F66" s="94"/>
      <c r="AC66" s="18"/>
      <c r="AD66" s="585"/>
      <c r="AE66" s="585"/>
      <c r="AF66" s="583"/>
      <c r="AG66" s="583"/>
      <c r="AH66" s="583"/>
      <c r="AI66" s="583"/>
      <c r="AJ66" s="583"/>
      <c r="AK66" s="583"/>
      <c r="AL66" s="689"/>
      <c r="AM66" s="689"/>
      <c r="AN66" s="583"/>
      <c r="AO66" s="583"/>
      <c r="AP66" s="583"/>
      <c r="AQ66" s="583"/>
      <c r="AR66" s="583"/>
      <c r="AS66" s="583"/>
      <c r="AT66" s="585"/>
    </row>
    <row r="67" spans="1:46" s="2" customFormat="1" ht="14.25">
      <c r="A67" s="24"/>
      <c r="B67" s="24"/>
      <c r="C67" s="7"/>
      <c r="D67" s="24"/>
      <c r="F67" s="94"/>
      <c r="AC67" s="18"/>
      <c r="AD67" s="585"/>
      <c r="AE67" s="585"/>
      <c r="AF67" s="583"/>
      <c r="AG67" s="583"/>
      <c r="AH67" s="583"/>
      <c r="AI67" s="583"/>
      <c r="AJ67" s="583"/>
      <c r="AK67" s="583"/>
      <c r="AL67" s="689"/>
      <c r="AM67" s="689"/>
      <c r="AN67" s="583"/>
      <c r="AO67" s="583"/>
      <c r="AP67" s="583"/>
      <c r="AQ67" s="583"/>
      <c r="AR67" s="583"/>
      <c r="AS67" s="583"/>
      <c r="AT67" s="585"/>
    </row>
    <row r="68" spans="1:46" s="2" customFormat="1" ht="14.25">
      <c r="A68" s="24"/>
      <c r="B68" s="24"/>
      <c r="C68" s="7"/>
      <c r="D68" s="24"/>
      <c r="F68" s="94"/>
      <c r="AC68" s="18"/>
      <c r="AD68" s="585"/>
      <c r="AE68" s="585"/>
      <c r="AF68" s="583"/>
      <c r="AG68" s="583"/>
      <c r="AH68" s="583"/>
      <c r="AI68" s="583"/>
      <c r="AJ68" s="583"/>
      <c r="AK68" s="583"/>
      <c r="AL68" s="689"/>
      <c r="AM68" s="689"/>
      <c r="AN68" s="583"/>
      <c r="AO68" s="583"/>
      <c r="AP68" s="583"/>
      <c r="AQ68" s="583"/>
      <c r="AR68" s="583"/>
      <c r="AS68" s="583"/>
      <c r="AT68" s="585"/>
    </row>
    <row r="69" spans="1:46" s="2" customFormat="1" ht="14.25">
      <c r="A69" s="24"/>
      <c r="B69" s="24"/>
      <c r="C69" s="7"/>
      <c r="D69" s="24"/>
      <c r="F69" s="94"/>
      <c r="AC69" s="18"/>
      <c r="AD69" s="585"/>
      <c r="AE69" s="585"/>
      <c r="AF69" s="583"/>
      <c r="AG69" s="583"/>
      <c r="AH69" s="583"/>
      <c r="AI69" s="583"/>
      <c r="AJ69" s="583"/>
      <c r="AK69" s="583"/>
      <c r="AL69" s="689"/>
      <c r="AM69" s="689"/>
      <c r="AN69" s="583"/>
      <c r="AO69" s="583"/>
      <c r="AP69" s="583"/>
      <c r="AQ69" s="583"/>
      <c r="AR69" s="583"/>
      <c r="AS69" s="583"/>
      <c r="AT69" s="585"/>
    </row>
    <row r="70" spans="1:46" s="2" customFormat="1" ht="14.25">
      <c r="A70" s="24"/>
      <c r="B70" s="24"/>
      <c r="C70" s="7"/>
      <c r="D70" s="24"/>
      <c r="F70" s="94"/>
      <c r="AC70" s="18"/>
      <c r="AD70" s="585"/>
      <c r="AE70" s="585"/>
      <c r="AF70" s="583"/>
      <c r="AG70" s="583"/>
      <c r="AH70" s="583"/>
      <c r="AI70" s="583"/>
      <c r="AJ70" s="583"/>
      <c r="AK70" s="583"/>
      <c r="AL70" s="689"/>
      <c r="AM70" s="689"/>
      <c r="AN70" s="583"/>
      <c r="AO70" s="583"/>
      <c r="AP70" s="583"/>
      <c r="AQ70" s="583"/>
      <c r="AR70" s="583"/>
      <c r="AS70" s="583"/>
      <c r="AT70" s="585"/>
    </row>
    <row r="71" spans="1:46" s="2" customFormat="1" ht="14.25">
      <c r="A71" s="24"/>
      <c r="B71" s="24"/>
      <c r="C71" s="7"/>
      <c r="D71" s="24"/>
      <c r="F71" s="94"/>
      <c r="AC71" s="18"/>
      <c r="AD71" s="585"/>
      <c r="AE71" s="585"/>
      <c r="AF71" s="583"/>
      <c r="AG71" s="583"/>
      <c r="AH71" s="583"/>
      <c r="AI71" s="583"/>
      <c r="AJ71" s="583"/>
      <c r="AK71" s="583"/>
      <c r="AL71" s="689"/>
      <c r="AM71" s="689"/>
      <c r="AN71" s="583"/>
      <c r="AO71" s="583"/>
      <c r="AP71" s="583"/>
      <c r="AQ71" s="583"/>
      <c r="AR71" s="583"/>
      <c r="AS71" s="583"/>
      <c r="AT71" s="585"/>
    </row>
    <row r="72" spans="1:46" s="2" customFormat="1" ht="14.25">
      <c r="A72" s="24"/>
      <c r="B72" s="24"/>
      <c r="C72" s="7"/>
      <c r="D72" s="24"/>
      <c r="F72" s="94"/>
      <c r="AC72" s="18"/>
      <c r="AD72" s="585"/>
      <c r="AE72" s="585"/>
      <c r="AF72" s="583"/>
      <c r="AG72" s="583"/>
      <c r="AH72" s="583"/>
      <c r="AI72" s="583"/>
      <c r="AJ72" s="583"/>
      <c r="AK72" s="583"/>
      <c r="AL72" s="689"/>
      <c r="AM72" s="689"/>
      <c r="AN72" s="583"/>
      <c r="AO72" s="583"/>
      <c r="AP72" s="583"/>
      <c r="AQ72" s="583"/>
      <c r="AR72" s="583"/>
      <c r="AS72" s="583"/>
      <c r="AT72" s="585"/>
    </row>
    <row r="73" spans="1:46" s="2" customFormat="1" ht="14.25">
      <c r="A73" s="24"/>
      <c r="B73" s="24"/>
      <c r="C73" s="7"/>
      <c r="D73" s="24"/>
      <c r="F73" s="94"/>
      <c r="AC73" s="18"/>
      <c r="AD73" s="585"/>
      <c r="AE73" s="585"/>
      <c r="AF73" s="583"/>
      <c r="AG73" s="583"/>
      <c r="AH73" s="583"/>
      <c r="AI73" s="583"/>
      <c r="AJ73" s="583"/>
      <c r="AK73" s="583"/>
      <c r="AL73" s="689"/>
      <c r="AM73" s="689"/>
      <c r="AN73" s="583"/>
      <c r="AO73" s="583"/>
      <c r="AP73" s="583"/>
      <c r="AQ73" s="583"/>
      <c r="AR73" s="583"/>
      <c r="AS73" s="583"/>
      <c r="AT73" s="585"/>
    </row>
    <row r="74" spans="1:46" s="2" customFormat="1" ht="14.25">
      <c r="A74" s="24"/>
      <c r="B74" s="24"/>
      <c r="C74" s="7"/>
      <c r="D74" s="24"/>
      <c r="F74" s="94"/>
      <c r="AC74" s="18"/>
      <c r="AD74" s="585"/>
      <c r="AE74" s="585"/>
      <c r="AF74" s="583"/>
      <c r="AG74" s="583"/>
      <c r="AH74" s="583"/>
      <c r="AI74" s="583"/>
      <c r="AJ74" s="583"/>
      <c r="AK74" s="583"/>
      <c r="AL74" s="689"/>
      <c r="AM74" s="689"/>
      <c r="AN74" s="583"/>
      <c r="AO74" s="583"/>
      <c r="AP74" s="583"/>
      <c r="AQ74" s="583"/>
      <c r="AR74" s="583"/>
      <c r="AS74" s="583"/>
      <c r="AT74" s="585"/>
    </row>
    <row r="75" spans="1:46" s="2" customFormat="1" ht="14.25">
      <c r="A75" s="24"/>
      <c r="B75" s="24"/>
      <c r="C75" s="7"/>
      <c r="D75" s="24"/>
      <c r="F75" s="94"/>
      <c r="AC75" s="18"/>
      <c r="AD75" s="585"/>
      <c r="AE75" s="585"/>
      <c r="AF75" s="583"/>
      <c r="AG75" s="583"/>
      <c r="AH75" s="583"/>
      <c r="AI75" s="583"/>
      <c r="AJ75" s="583"/>
      <c r="AK75" s="583"/>
      <c r="AL75" s="689"/>
      <c r="AM75" s="689"/>
      <c r="AN75" s="583"/>
      <c r="AO75" s="583"/>
      <c r="AP75" s="583"/>
      <c r="AQ75" s="583"/>
      <c r="AR75" s="583"/>
      <c r="AS75" s="583"/>
      <c r="AT75" s="585"/>
    </row>
    <row r="76" spans="1:46" s="2" customFormat="1" ht="14.25">
      <c r="A76" s="18"/>
      <c r="B76" s="18"/>
      <c r="C76" s="7"/>
      <c r="D76" s="18"/>
      <c r="F76" s="94"/>
      <c r="AC76" s="18"/>
      <c r="AD76" s="585"/>
      <c r="AE76" s="585"/>
      <c r="AF76" s="583"/>
      <c r="AG76" s="583"/>
      <c r="AH76" s="583"/>
      <c r="AI76" s="583"/>
      <c r="AJ76" s="583"/>
      <c r="AK76" s="583"/>
      <c r="AL76" s="689"/>
      <c r="AM76" s="689"/>
      <c r="AN76" s="583"/>
      <c r="AO76" s="583"/>
      <c r="AP76" s="583"/>
      <c r="AQ76" s="583"/>
      <c r="AR76" s="583"/>
      <c r="AS76" s="583"/>
      <c r="AT76" s="585"/>
    </row>
    <row r="77" spans="1:46" s="2" customFormat="1" ht="14.25">
      <c r="A77" s="18"/>
      <c r="B77" s="18"/>
      <c r="C77" s="7"/>
      <c r="D77" s="18"/>
      <c r="F77" s="94"/>
      <c r="AC77" s="18"/>
      <c r="AD77" s="585"/>
      <c r="AE77" s="585"/>
      <c r="AF77" s="583"/>
      <c r="AG77" s="583"/>
      <c r="AH77" s="583"/>
      <c r="AI77" s="583"/>
      <c r="AJ77" s="583"/>
      <c r="AK77" s="583"/>
      <c r="AL77" s="689"/>
      <c r="AM77" s="689"/>
      <c r="AN77" s="583"/>
      <c r="AO77" s="583"/>
      <c r="AP77" s="583"/>
      <c r="AQ77" s="583"/>
      <c r="AR77" s="583"/>
      <c r="AS77" s="583"/>
      <c r="AT77" s="585"/>
    </row>
    <row r="78" spans="1:46" s="2" customFormat="1" ht="14.25">
      <c r="A78" s="18"/>
      <c r="B78" s="18"/>
      <c r="C78" s="7"/>
      <c r="D78" s="18"/>
      <c r="F78" s="94"/>
      <c r="AC78" s="18"/>
      <c r="AD78" s="585"/>
      <c r="AE78" s="585"/>
      <c r="AF78" s="583"/>
      <c r="AG78" s="583"/>
      <c r="AH78" s="583"/>
      <c r="AI78" s="583"/>
      <c r="AJ78" s="583"/>
      <c r="AK78" s="583"/>
      <c r="AL78" s="689"/>
      <c r="AM78" s="689"/>
      <c r="AN78" s="583"/>
      <c r="AO78" s="583"/>
      <c r="AP78" s="583"/>
      <c r="AQ78" s="583"/>
      <c r="AR78" s="583"/>
      <c r="AS78" s="583"/>
      <c r="AT78" s="585"/>
    </row>
    <row r="79" spans="1:46" s="2" customFormat="1" ht="14.25">
      <c r="A79" s="18"/>
      <c r="B79" s="18"/>
      <c r="C79" s="7"/>
      <c r="D79" s="18"/>
      <c r="F79" s="94"/>
      <c r="AC79" s="18"/>
      <c r="AD79" s="585"/>
      <c r="AE79" s="585"/>
      <c r="AF79" s="583"/>
      <c r="AG79" s="583"/>
      <c r="AH79" s="583"/>
      <c r="AI79" s="583"/>
      <c r="AJ79" s="583"/>
      <c r="AK79" s="583"/>
      <c r="AL79" s="689"/>
      <c r="AM79" s="689"/>
      <c r="AN79" s="583"/>
      <c r="AO79" s="583"/>
      <c r="AP79" s="583"/>
      <c r="AQ79" s="583"/>
      <c r="AR79" s="583"/>
      <c r="AS79" s="583"/>
      <c r="AT79" s="585"/>
    </row>
    <row r="80" spans="1:46" s="2" customFormat="1" ht="14.25">
      <c r="A80" s="18"/>
      <c r="B80" s="18"/>
      <c r="C80" s="7"/>
      <c r="D80" s="18"/>
      <c r="F80" s="94"/>
      <c r="AC80" s="18"/>
      <c r="AD80" s="585"/>
      <c r="AE80" s="585"/>
      <c r="AF80" s="583"/>
      <c r="AG80" s="583"/>
      <c r="AH80" s="583"/>
      <c r="AI80" s="583"/>
      <c r="AJ80" s="583"/>
      <c r="AK80" s="583"/>
      <c r="AL80" s="689"/>
      <c r="AM80" s="689"/>
      <c r="AN80" s="583"/>
      <c r="AO80" s="583"/>
      <c r="AP80" s="583"/>
      <c r="AQ80" s="583"/>
      <c r="AR80" s="583"/>
      <c r="AS80" s="583"/>
      <c r="AT80" s="585"/>
    </row>
    <row r="81" spans="1:46" s="2" customFormat="1" ht="14.25">
      <c r="A81" s="18"/>
      <c r="B81" s="18"/>
      <c r="C81" s="7"/>
      <c r="D81" s="18"/>
      <c r="F81" s="94"/>
      <c r="AC81" s="18"/>
      <c r="AD81" s="585"/>
      <c r="AE81" s="585"/>
      <c r="AF81" s="583"/>
      <c r="AG81" s="583"/>
      <c r="AH81" s="583"/>
      <c r="AI81" s="583"/>
      <c r="AJ81" s="583"/>
      <c r="AK81" s="583"/>
      <c r="AL81" s="689"/>
      <c r="AM81" s="689"/>
      <c r="AN81" s="583"/>
      <c r="AO81" s="583"/>
      <c r="AP81" s="583"/>
      <c r="AQ81" s="583"/>
      <c r="AR81" s="583"/>
      <c r="AS81" s="583"/>
      <c r="AT81" s="585"/>
    </row>
    <row r="82" spans="1:46" s="2" customFormat="1" ht="14.25">
      <c r="A82" s="18"/>
      <c r="B82" s="18"/>
      <c r="C82" s="7"/>
      <c r="D82" s="18"/>
      <c r="F82" s="94"/>
      <c r="AC82" s="18"/>
      <c r="AD82" s="585"/>
      <c r="AE82" s="585"/>
      <c r="AF82" s="583"/>
      <c r="AG82" s="583"/>
      <c r="AH82" s="583"/>
      <c r="AI82" s="583"/>
      <c r="AJ82" s="583"/>
      <c r="AK82" s="583"/>
      <c r="AL82" s="689"/>
      <c r="AM82" s="689"/>
      <c r="AN82" s="583"/>
      <c r="AO82" s="583"/>
      <c r="AP82" s="583"/>
      <c r="AQ82" s="583"/>
      <c r="AR82" s="583"/>
      <c r="AS82" s="583"/>
      <c r="AT82" s="585"/>
    </row>
    <row r="83" spans="1:46">
      <c r="A83" s="18"/>
      <c r="B83" s="18"/>
      <c r="C83" s="7"/>
      <c r="D83" s="18"/>
      <c r="F83" s="94"/>
      <c r="J83" s="24"/>
      <c r="K83" s="24"/>
    </row>
    <row r="84" spans="1:46">
      <c r="A84" s="18"/>
      <c r="B84" s="18"/>
      <c r="C84" s="7"/>
      <c r="D84" s="18"/>
      <c r="F84" s="94"/>
      <c r="J84" s="24"/>
      <c r="K84" s="24"/>
    </row>
    <row r="85" spans="1:46">
      <c r="A85" s="18"/>
      <c r="B85" s="18"/>
      <c r="C85" s="7"/>
      <c r="D85" s="18"/>
      <c r="F85" s="94"/>
      <c r="J85" s="24"/>
      <c r="K85" s="24"/>
    </row>
    <row r="86" spans="1:46">
      <c r="A86" s="18"/>
      <c r="B86" s="18"/>
      <c r="C86" s="7"/>
      <c r="D86" s="18"/>
      <c r="F86" s="94"/>
      <c r="J86" s="24"/>
      <c r="K86" s="24"/>
    </row>
    <row r="87" spans="1:46">
      <c r="A87" s="18"/>
      <c r="B87" s="18"/>
      <c r="C87" s="7"/>
      <c r="D87" s="18"/>
      <c r="F87" s="94"/>
      <c r="J87" s="24"/>
      <c r="K87" s="24"/>
    </row>
    <row r="88" spans="1:46">
      <c r="A88" s="18"/>
      <c r="B88" s="18"/>
      <c r="C88" s="7"/>
      <c r="D88" s="18"/>
      <c r="F88" s="94"/>
      <c r="J88" s="24"/>
      <c r="K88" s="24"/>
    </row>
    <row r="89" spans="1:46">
      <c r="A89" s="18"/>
      <c r="B89" s="18"/>
      <c r="C89" s="7"/>
      <c r="D89" s="18"/>
      <c r="F89" s="94"/>
      <c r="J89" s="24"/>
      <c r="K89" s="24"/>
    </row>
    <row r="90" spans="1:46">
      <c r="A90" s="18"/>
      <c r="B90" s="18"/>
      <c r="C90" s="7"/>
      <c r="D90" s="18"/>
      <c r="F90" s="94"/>
      <c r="J90" s="24"/>
      <c r="K90" s="24"/>
    </row>
    <row r="91" spans="1:46">
      <c r="A91" s="18"/>
      <c r="B91" s="18"/>
      <c r="C91" s="7"/>
      <c r="D91" s="18"/>
      <c r="F91" s="94"/>
      <c r="J91" s="24"/>
      <c r="K91" s="24"/>
    </row>
    <row r="92" spans="1:46">
      <c r="A92" s="18"/>
      <c r="B92" s="18"/>
      <c r="C92" s="7"/>
      <c r="D92" s="18"/>
      <c r="F92" s="94"/>
      <c r="J92" s="24"/>
      <c r="K92" s="24"/>
    </row>
    <row r="93" spans="1:46">
      <c r="A93" s="18"/>
      <c r="B93" s="18"/>
      <c r="C93" s="7"/>
      <c r="D93" s="18"/>
      <c r="F93" s="94"/>
      <c r="J93" s="24"/>
      <c r="K93" s="24"/>
    </row>
    <row r="94" spans="1:46">
      <c r="A94" s="18"/>
      <c r="B94" s="18"/>
      <c r="C94" s="7"/>
      <c r="D94" s="18"/>
      <c r="F94" s="94"/>
      <c r="J94" s="24"/>
      <c r="K94" s="24"/>
    </row>
    <row r="95" spans="1:46">
      <c r="A95" s="18"/>
      <c r="B95" s="18"/>
      <c r="C95" s="7"/>
      <c r="D95" s="18"/>
      <c r="F95" s="94"/>
      <c r="J95" s="24"/>
      <c r="K95" s="24"/>
    </row>
    <row r="96" spans="1:46">
      <c r="A96" s="18"/>
      <c r="B96" s="18"/>
      <c r="C96" s="7"/>
      <c r="D96" s="18"/>
      <c r="F96" s="94"/>
      <c r="J96" s="24"/>
      <c r="K96" s="24"/>
    </row>
    <row r="97" spans="1:11">
      <c r="A97" s="18"/>
      <c r="B97" s="18"/>
      <c r="C97" s="7"/>
      <c r="D97" s="18"/>
      <c r="F97" s="94"/>
      <c r="J97" s="24"/>
      <c r="K97" s="24"/>
    </row>
    <row r="98" spans="1:11">
      <c r="A98" s="18"/>
      <c r="B98" s="18"/>
      <c r="C98" s="7"/>
      <c r="D98" s="18"/>
      <c r="F98" s="94"/>
      <c r="J98" s="24"/>
      <c r="K98" s="24"/>
    </row>
    <row r="99" spans="1:11">
      <c r="A99" s="18"/>
      <c r="B99" s="18"/>
      <c r="C99" s="7"/>
      <c r="D99" s="18"/>
      <c r="F99" s="94"/>
      <c r="J99" s="24"/>
      <c r="K99" s="24"/>
    </row>
    <row r="100" spans="1:11">
      <c r="A100" s="18"/>
      <c r="B100" s="18"/>
      <c r="C100" s="7"/>
      <c r="D100" s="18"/>
      <c r="F100" s="94"/>
      <c r="J100" s="24"/>
      <c r="K100" s="24"/>
    </row>
    <row r="101" spans="1:11">
      <c r="A101" s="18"/>
      <c r="B101" s="18"/>
      <c r="C101" s="7"/>
      <c r="D101" s="18"/>
      <c r="F101" s="94"/>
      <c r="J101" s="24"/>
      <c r="K101" s="24"/>
    </row>
    <row r="102" spans="1:11">
      <c r="A102" s="18"/>
      <c r="B102" s="18"/>
      <c r="C102" s="7"/>
      <c r="D102" s="18"/>
      <c r="F102" s="94"/>
      <c r="J102" s="24"/>
      <c r="K102" s="24"/>
    </row>
    <row r="103" spans="1:11">
      <c r="A103" s="18"/>
      <c r="B103" s="18"/>
      <c r="C103" s="7"/>
      <c r="D103" s="18"/>
      <c r="F103" s="94"/>
      <c r="J103" s="24"/>
      <c r="K103" s="24"/>
    </row>
    <row r="104" spans="1:11">
      <c r="A104" s="18"/>
      <c r="B104" s="18"/>
      <c r="C104" s="7"/>
      <c r="D104" s="18"/>
      <c r="F104" s="94"/>
      <c r="J104" s="24"/>
      <c r="K104" s="24"/>
    </row>
    <row r="105" spans="1:11">
      <c r="A105" s="18"/>
      <c r="B105" s="18"/>
      <c r="C105" s="7"/>
      <c r="D105" s="18"/>
      <c r="F105" s="94"/>
      <c r="J105" s="24"/>
      <c r="K105" s="24"/>
    </row>
    <row r="106" spans="1:11">
      <c r="A106" s="18"/>
      <c r="B106" s="18"/>
      <c r="C106" s="7"/>
      <c r="D106" s="18"/>
      <c r="F106" s="94"/>
      <c r="J106" s="24"/>
      <c r="K106" s="24"/>
    </row>
    <row r="107" spans="1:11">
      <c r="A107" s="18"/>
      <c r="B107" s="18"/>
      <c r="C107" s="7"/>
      <c r="D107" s="18"/>
      <c r="F107" s="94"/>
      <c r="J107" s="24"/>
      <c r="K107" s="24"/>
    </row>
    <row r="108" spans="1:11">
      <c r="A108" s="18"/>
      <c r="B108" s="18"/>
      <c r="C108" s="7"/>
      <c r="D108" s="18"/>
      <c r="F108" s="94"/>
      <c r="J108" s="24"/>
      <c r="K108" s="24"/>
    </row>
    <row r="109" spans="1:11">
      <c r="A109" s="18"/>
      <c r="B109" s="18"/>
      <c r="C109" s="7"/>
      <c r="D109" s="18"/>
      <c r="F109" s="94"/>
      <c r="J109" s="24"/>
      <c r="K109" s="24"/>
    </row>
    <row r="110" spans="1:11">
      <c r="A110" s="18"/>
      <c r="B110" s="18"/>
      <c r="C110" s="7"/>
      <c r="D110" s="18"/>
      <c r="F110" s="94"/>
      <c r="J110" s="24"/>
      <c r="K110" s="24"/>
    </row>
    <row r="111" spans="1:11">
      <c r="A111" s="18"/>
      <c r="B111" s="18"/>
      <c r="C111" s="7"/>
      <c r="D111" s="18"/>
      <c r="F111" s="94"/>
      <c r="J111" s="24"/>
      <c r="K111" s="24"/>
    </row>
    <row r="112" spans="1:11">
      <c r="A112" s="18"/>
      <c r="B112" s="18"/>
      <c r="C112" s="7"/>
      <c r="D112" s="18"/>
      <c r="F112" s="94"/>
      <c r="J112" s="24"/>
      <c r="K112" s="24"/>
    </row>
    <row r="113" spans="1:11">
      <c r="A113" s="18"/>
      <c r="B113" s="18"/>
      <c r="C113" s="7"/>
      <c r="D113" s="18"/>
      <c r="F113" s="94"/>
      <c r="J113" s="24"/>
      <c r="K113" s="24"/>
    </row>
    <row r="114" spans="1:11">
      <c r="A114" s="18"/>
      <c r="B114" s="18"/>
      <c r="C114" s="7"/>
      <c r="D114" s="18"/>
      <c r="F114" s="94"/>
      <c r="J114" s="24"/>
      <c r="K114" s="24"/>
    </row>
    <row r="115" spans="1:11">
      <c r="A115" s="18"/>
      <c r="B115" s="18"/>
      <c r="C115" s="7"/>
      <c r="D115" s="18"/>
      <c r="F115" s="94"/>
      <c r="J115" s="24"/>
      <c r="K115" s="24"/>
    </row>
    <row r="116" spans="1:11">
      <c r="A116" s="18"/>
      <c r="B116" s="18"/>
      <c r="C116" s="7"/>
      <c r="D116" s="18"/>
      <c r="F116" s="94"/>
      <c r="J116" s="24"/>
      <c r="K116" s="24"/>
    </row>
    <row r="117" spans="1:11">
      <c r="A117" s="18"/>
      <c r="B117" s="18"/>
      <c r="C117" s="7"/>
      <c r="D117" s="18"/>
      <c r="F117" s="94"/>
      <c r="J117" s="24"/>
      <c r="K117" s="24"/>
    </row>
    <row r="118" spans="1:11">
      <c r="A118" s="18"/>
      <c r="B118" s="18"/>
      <c r="C118" s="7"/>
      <c r="D118" s="18"/>
      <c r="F118" s="94"/>
      <c r="J118" s="24"/>
      <c r="K118" s="24"/>
    </row>
    <row r="119" spans="1:11">
      <c r="A119" s="18"/>
      <c r="B119" s="18"/>
      <c r="C119" s="7"/>
      <c r="D119" s="18"/>
      <c r="F119" s="94"/>
      <c r="J119" s="24"/>
      <c r="K119" s="24"/>
    </row>
    <row r="120" spans="1:11">
      <c r="A120" s="18"/>
      <c r="B120" s="18"/>
      <c r="C120" s="7"/>
      <c r="D120" s="18"/>
      <c r="F120" s="94"/>
      <c r="J120" s="24"/>
      <c r="K120" s="24"/>
    </row>
    <row r="121" spans="1:11">
      <c r="A121" s="18"/>
      <c r="B121" s="18"/>
      <c r="C121" s="7"/>
      <c r="D121" s="18"/>
      <c r="F121" s="94"/>
      <c r="J121" s="24"/>
      <c r="K121" s="24"/>
    </row>
    <row r="122" spans="1:11">
      <c r="A122" s="18"/>
      <c r="B122" s="18"/>
      <c r="C122" s="7"/>
      <c r="D122" s="18"/>
      <c r="F122" s="94"/>
      <c r="J122" s="24"/>
      <c r="K122" s="24"/>
    </row>
    <row r="123" spans="1:11">
      <c r="A123" s="18"/>
      <c r="B123" s="18"/>
      <c r="C123" s="7"/>
      <c r="D123" s="18"/>
      <c r="F123" s="94"/>
      <c r="J123" s="24"/>
      <c r="K123" s="24"/>
    </row>
    <row r="124" spans="1:11">
      <c r="A124" s="18"/>
      <c r="B124" s="18"/>
      <c r="C124" s="7"/>
      <c r="D124" s="18"/>
      <c r="F124" s="94"/>
      <c r="J124" s="24"/>
      <c r="K124" s="24"/>
    </row>
    <row r="125" spans="1:11">
      <c r="A125" s="18"/>
      <c r="B125" s="18"/>
      <c r="C125" s="7"/>
      <c r="D125" s="18"/>
      <c r="F125" s="94"/>
      <c r="J125" s="24"/>
      <c r="K125" s="24"/>
    </row>
    <row r="126" spans="1:11">
      <c r="A126" s="18"/>
      <c r="B126" s="18"/>
      <c r="C126" s="7"/>
      <c r="D126" s="18"/>
      <c r="F126" s="94"/>
      <c r="J126" s="24"/>
      <c r="K126" s="24"/>
    </row>
    <row r="127" spans="1:11">
      <c r="A127" s="18"/>
      <c r="B127" s="18"/>
      <c r="C127" s="7"/>
      <c r="D127" s="18"/>
      <c r="F127" s="94"/>
      <c r="J127" s="24"/>
      <c r="K127" s="24"/>
    </row>
    <row r="128" spans="1:11">
      <c r="A128" s="18"/>
      <c r="B128" s="18"/>
      <c r="C128" s="7"/>
      <c r="D128" s="18"/>
      <c r="F128" s="94"/>
      <c r="J128" s="24"/>
      <c r="K128" s="24"/>
    </row>
    <row r="129" spans="1:11">
      <c r="A129" s="18"/>
      <c r="B129" s="18"/>
      <c r="C129" s="7"/>
      <c r="D129" s="18"/>
      <c r="F129" s="94"/>
      <c r="J129" s="24"/>
      <c r="K129" s="24"/>
    </row>
    <row r="130" spans="1:11">
      <c r="A130" s="18"/>
      <c r="B130" s="18"/>
      <c r="C130" s="7"/>
      <c r="D130" s="18"/>
      <c r="F130" s="94"/>
      <c r="J130" s="24"/>
      <c r="K130" s="24"/>
    </row>
    <row r="131" spans="1:11">
      <c r="A131" s="18"/>
      <c r="B131" s="18"/>
      <c r="C131" s="7"/>
      <c r="D131" s="18"/>
      <c r="F131" s="94"/>
      <c r="J131" s="24"/>
      <c r="K131" s="24"/>
    </row>
    <row r="132" spans="1:11">
      <c r="A132" s="18"/>
      <c r="B132" s="18"/>
      <c r="C132" s="7"/>
      <c r="D132" s="18"/>
      <c r="F132" s="94"/>
      <c r="J132" s="24"/>
      <c r="K132" s="24"/>
    </row>
    <row r="133" spans="1:11">
      <c r="A133" s="18"/>
      <c r="B133" s="18"/>
      <c r="C133" s="7"/>
      <c r="D133" s="18"/>
      <c r="F133" s="94"/>
      <c r="J133" s="24"/>
      <c r="K133" s="24"/>
    </row>
    <row r="134" spans="1:11">
      <c r="A134" s="18"/>
      <c r="B134" s="18"/>
      <c r="C134" s="7"/>
      <c r="D134" s="18"/>
      <c r="F134" s="94"/>
      <c r="J134" s="24"/>
      <c r="K134" s="24"/>
    </row>
    <row r="135" spans="1:11">
      <c r="A135" s="18"/>
      <c r="B135" s="18"/>
      <c r="C135" s="7"/>
      <c r="D135" s="18"/>
      <c r="F135" s="94"/>
      <c r="J135" s="24"/>
      <c r="K135" s="24"/>
    </row>
    <row r="136" spans="1:11">
      <c r="A136" s="18"/>
      <c r="B136" s="18"/>
      <c r="C136" s="7"/>
      <c r="D136" s="18"/>
      <c r="F136" s="94"/>
      <c r="J136" s="24"/>
      <c r="K136" s="24"/>
    </row>
    <row r="137" spans="1:11">
      <c r="A137" s="18"/>
      <c r="B137" s="18"/>
      <c r="C137" s="7"/>
      <c r="D137" s="18"/>
      <c r="F137" s="94"/>
      <c r="J137" s="24"/>
      <c r="K137" s="24"/>
    </row>
    <row r="138" spans="1:11">
      <c r="A138" s="18"/>
      <c r="B138" s="18"/>
      <c r="C138" s="7"/>
      <c r="D138" s="18"/>
      <c r="F138" s="94"/>
      <c r="J138" s="24"/>
      <c r="K138" s="24"/>
    </row>
    <row r="139" spans="1:11">
      <c r="A139" s="18"/>
      <c r="B139" s="18"/>
      <c r="C139" s="7"/>
      <c r="D139" s="18"/>
      <c r="F139" s="94"/>
      <c r="J139" s="24"/>
      <c r="K139" s="24"/>
    </row>
    <row r="140" spans="1:11">
      <c r="A140" s="18"/>
      <c r="B140" s="18"/>
      <c r="C140" s="7"/>
      <c r="D140" s="18"/>
      <c r="F140" s="94"/>
      <c r="J140" s="24"/>
      <c r="K140" s="24"/>
    </row>
    <row r="141" spans="1:11">
      <c r="A141" s="18"/>
      <c r="B141" s="18"/>
      <c r="C141" s="7"/>
      <c r="D141" s="18"/>
      <c r="F141" s="94"/>
      <c r="J141" s="24"/>
      <c r="K141" s="24"/>
    </row>
    <row r="142" spans="1:11">
      <c r="A142" s="18"/>
      <c r="B142" s="18"/>
      <c r="C142" s="7"/>
      <c r="D142" s="18"/>
      <c r="F142" s="94"/>
      <c r="J142" s="24"/>
      <c r="K142" s="24"/>
    </row>
    <row r="143" spans="1:11">
      <c r="A143" s="18"/>
      <c r="B143" s="18"/>
      <c r="C143" s="7"/>
      <c r="D143" s="18"/>
      <c r="F143" s="94"/>
      <c r="J143" s="24"/>
      <c r="K143" s="24"/>
    </row>
    <row r="144" spans="1:11">
      <c r="A144" s="18"/>
      <c r="B144" s="18"/>
      <c r="C144" s="7"/>
      <c r="D144" s="18"/>
      <c r="F144" s="94"/>
      <c r="J144" s="24"/>
      <c r="K144" s="24"/>
    </row>
    <row r="145" spans="1:11">
      <c r="A145" s="18"/>
      <c r="B145" s="18"/>
      <c r="C145" s="7"/>
      <c r="D145" s="18"/>
      <c r="F145" s="94"/>
      <c r="J145" s="24"/>
      <c r="K145" s="24"/>
    </row>
    <row r="146" spans="1:11">
      <c r="A146" s="18"/>
      <c r="B146" s="18"/>
      <c r="C146" s="7"/>
      <c r="D146" s="18"/>
      <c r="F146" s="94"/>
      <c r="J146" s="24"/>
      <c r="K146" s="24"/>
    </row>
    <row r="147" spans="1:11">
      <c r="A147" s="18"/>
      <c r="B147" s="18"/>
      <c r="C147" s="7"/>
      <c r="D147" s="18"/>
      <c r="F147" s="94"/>
      <c r="J147" s="24"/>
      <c r="K147" s="24"/>
    </row>
    <row r="148" spans="1:11">
      <c r="A148" s="18"/>
      <c r="B148" s="18"/>
      <c r="C148" s="7"/>
      <c r="D148" s="18"/>
      <c r="F148" s="94"/>
      <c r="J148" s="24"/>
      <c r="K148" s="24"/>
    </row>
    <row r="149" spans="1:11">
      <c r="A149" s="18"/>
      <c r="B149" s="18"/>
      <c r="C149" s="7"/>
      <c r="D149" s="18"/>
      <c r="F149" s="94"/>
      <c r="J149" s="24"/>
      <c r="K149" s="24"/>
    </row>
    <row r="150" spans="1:11">
      <c r="A150" s="18"/>
      <c r="B150" s="18"/>
      <c r="C150" s="7"/>
      <c r="D150" s="18"/>
      <c r="F150" s="94"/>
      <c r="J150" s="24"/>
      <c r="K150" s="24"/>
    </row>
    <row r="151" spans="1:11">
      <c r="A151" s="18"/>
      <c r="B151" s="18"/>
      <c r="C151" s="7"/>
      <c r="D151" s="18"/>
      <c r="F151" s="94"/>
      <c r="J151" s="24"/>
      <c r="K151" s="24"/>
    </row>
    <row r="152" spans="1:11">
      <c r="A152" s="18"/>
      <c r="B152" s="18"/>
      <c r="C152" s="7"/>
      <c r="D152" s="18"/>
      <c r="F152" s="94"/>
      <c r="J152" s="24"/>
      <c r="K152" s="24"/>
    </row>
    <row r="153" spans="1:11">
      <c r="A153" s="18"/>
      <c r="B153" s="18"/>
      <c r="C153" s="7"/>
      <c r="D153" s="18"/>
      <c r="F153" s="94"/>
      <c r="J153" s="24"/>
      <c r="K153" s="24"/>
    </row>
    <row r="154" spans="1:11">
      <c r="A154" s="18"/>
      <c r="B154" s="18"/>
      <c r="C154" s="7"/>
      <c r="D154" s="18"/>
      <c r="F154" s="94"/>
      <c r="J154" s="24"/>
      <c r="K154" s="24"/>
    </row>
    <row r="155" spans="1:11">
      <c r="A155" s="18"/>
      <c r="B155" s="18"/>
      <c r="C155" s="7"/>
      <c r="D155" s="18"/>
      <c r="F155" s="94"/>
      <c r="J155" s="24"/>
      <c r="K155" s="24"/>
    </row>
    <row r="156" spans="1:11">
      <c r="A156" s="18"/>
      <c r="B156" s="18"/>
      <c r="C156" s="7"/>
      <c r="D156" s="18"/>
      <c r="F156" s="94"/>
      <c r="J156" s="24"/>
      <c r="K156" s="24"/>
    </row>
    <row r="157" spans="1:11">
      <c r="A157" s="18"/>
      <c r="B157" s="18"/>
      <c r="C157" s="7"/>
      <c r="D157" s="18"/>
      <c r="F157" s="94"/>
      <c r="J157" s="24"/>
      <c r="K157" s="24"/>
    </row>
    <row r="158" spans="1:11">
      <c r="A158" s="18"/>
      <c r="B158" s="18"/>
      <c r="C158" s="7"/>
      <c r="D158" s="18"/>
      <c r="F158" s="94"/>
      <c r="J158" s="24"/>
      <c r="K158" s="24"/>
    </row>
    <row r="159" spans="1:11">
      <c r="A159" s="18"/>
      <c r="B159" s="18"/>
      <c r="C159" s="7"/>
      <c r="D159" s="18"/>
      <c r="F159" s="94"/>
      <c r="J159" s="24"/>
      <c r="K159" s="24"/>
    </row>
    <row r="160" spans="1:11">
      <c r="A160" s="18"/>
      <c r="B160" s="18"/>
      <c r="C160" s="7"/>
      <c r="D160" s="18"/>
      <c r="F160" s="94"/>
      <c r="J160" s="24"/>
      <c r="K160" s="24"/>
    </row>
    <row r="161" spans="1:11">
      <c r="A161" s="18"/>
      <c r="B161" s="18"/>
      <c r="C161" s="7"/>
      <c r="D161" s="18"/>
      <c r="F161" s="94"/>
      <c r="J161" s="24"/>
      <c r="K161" s="24"/>
    </row>
    <row r="162" spans="1:11">
      <c r="A162" s="18"/>
      <c r="B162" s="18"/>
      <c r="C162" s="7"/>
      <c r="D162" s="18"/>
      <c r="F162" s="94"/>
      <c r="J162" s="24"/>
      <c r="K162" s="24"/>
    </row>
    <row r="163" spans="1:11">
      <c r="A163" s="18"/>
      <c r="B163" s="18"/>
      <c r="C163" s="7"/>
      <c r="D163" s="18"/>
      <c r="F163" s="94"/>
      <c r="J163" s="24"/>
      <c r="K163" s="24"/>
    </row>
    <row r="164" spans="1:11">
      <c r="A164" s="18"/>
      <c r="B164" s="18"/>
      <c r="C164" s="7"/>
      <c r="D164" s="18"/>
      <c r="F164" s="94"/>
      <c r="J164" s="24"/>
      <c r="K164" s="24"/>
    </row>
    <row r="165" spans="1:11">
      <c r="A165" s="18"/>
      <c r="B165" s="18"/>
      <c r="C165" s="7"/>
      <c r="D165" s="18"/>
      <c r="F165" s="94"/>
      <c r="J165" s="24"/>
      <c r="K165" s="24"/>
    </row>
    <row r="166" spans="1:11">
      <c r="A166" s="18"/>
      <c r="B166" s="18"/>
      <c r="C166" s="7"/>
      <c r="D166" s="18"/>
      <c r="F166" s="94"/>
      <c r="J166" s="24"/>
      <c r="K166" s="24"/>
    </row>
    <row r="167" spans="1:11">
      <c r="A167" s="18"/>
      <c r="B167" s="18"/>
      <c r="C167" s="7"/>
      <c r="D167" s="18"/>
      <c r="F167" s="94"/>
      <c r="J167" s="24"/>
      <c r="K167" s="24"/>
    </row>
    <row r="168" spans="1:11">
      <c r="A168" s="18"/>
      <c r="B168" s="18"/>
      <c r="C168" s="7"/>
      <c r="D168" s="18"/>
      <c r="F168" s="94"/>
      <c r="J168" s="24"/>
      <c r="K168" s="24"/>
    </row>
    <row r="169" spans="1:11">
      <c r="A169" s="18"/>
      <c r="B169" s="18"/>
      <c r="C169" s="7"/>
      <c r="D169" s="18"/>
      <c r="F169" s="94"/>
      <c r="J169" s="24"/>
      <c r="K169" s="24"/>
    </row>
    <row r="170" spans="1:11">
      <c r="C170" s="7"/>
      <c r="J170" s="24"/>
      <c r="K170" s="24"/>
    </row>
    <row r="171" spans="1:11">
      <c r="C171" s="7"/>
      <c r="J171" s="24"/>
      <c r="K171" s="24"/>
    </row>
    <row r="172" spans="1:11">
      <c r="C172" s="7"/>
      <c r="J172" s="24"/>
      <c r="K172" s="24"/>
    </row>
    <row r="173" spans="1:11">
      <c r="C173" s="7"/>
      <c r="J173" s="24"/>
      <c r="K173" s="24"/>
    </row>
    <row r="174" spans="1:11">
      <c r="C174" s="7"/>
      <c r="J174" s="24"/>
      <c r="K174" s="24"/>
    </row>
    <row r="175" spans="1:11">
      <c r="C175" s="7"/>
      <c r="J175" s="24"/>
      <c r="K175" s="24"/>
    </row>
    <row r="176" spans="1:11">
      <c r="C176" s="7"/>
      <c r="J176" s="24"/>
      <c r="K176" s="24"/>
    </row>
  </sheetData>
  <autoFilter ref="A3:AU45"/>
  <mergeCells count="47">
    <mergeCell ref="U14:U15"/>
    <mergeCell ref="U36:U37"/>
    <mergeCell ref="T14:T15"/>
    <mergeCell ref="X14:X15"/>
    <mergeCell ref="X36:X37"/>
    <mergeCell ref="V14:V15"/>
    <mergeCell ref="V36:V37"/>
    <mergeCell ref="W14:W15"/>
    <mergeCell ref="W36:W37"/>
    <mergeCell ref="G14:G15"/>
    <mergeCell ref="G31:G32"/>
    <mergeCell ref="G33:G34"/>
    <mergeCell ref="G36:G37"/>
    <mergeCell ref="A33:A34"/>
    <mergeCell ref="B33:B34"/>
    <mergeCell ref="A36:A37"/>
    <mergeCell ref="B36:B37"/>
    <mergeCell ref="H36:H37"/>
    <mergeCell ref="S36:S37"/>
    <mergeCell ref="R36:R37"/>
    <mergeCell ref="H14:H15"/>
    <mergeCell ref="H31:H32"/>
    <mergeCell ref="H33:H34"/>
    <mergeCell ref="S14:S15"/>
    <mergeCell ref="S31:S32"/>
    <mergeCell ref="S33:S34"/>
    <mergeCell ref="R14:R15"/>
    <mergeCell ref="R31:R32"/>
    <mergeCell ref="R33:R34"/>
    <mergeCell ref="Q31:Q32"/>
    <mergeCell ref="Q33:Q34"/>
    <mergeCell ref="A4:A7"/>
    <mergeCell ref="B4:B7"/>
    <mergeCell ref="A8:A10"/>
    <mergeCell ref="B8:B10"/>
    <mergeCell ref="A31:A32"/>
    <mergeCell ref="B31:B32"/>
    <mergeCell ref="A11:A13"/>
    <mergeCell ref="B11:B13"/>
    <mergeCell ref="B14:B15"/>
    <mergeCell ref="A14:A15"/>
    <mergeCell ref="A16:A18"/>
    <mergeCell ref="B16:B18"/>
    <mergeCell ref="B19:B21"/>
    <mergeCell ref="A19:A21"/>
    <mergeCell ref="A24:A26"/>
    <mergeCell ref="B24:B26"/>
  </mergeCells>
  <phoneticPr fontId="12" type="noConversion"/>
  <conditionalFormatting sqref="Q31:Q34">
    <cfRule type="expression" dxfId="123" priority="28">
      <formula>ABS($R$31/$S$31-1)&gt;0.3</formula>
    </cfRule>
  </conditionalFormatting>
  <conditionalFormatting sqref="U4:U37 V4:X14 V16:X36">
    <cfRule type="expression" dxfId="122" priority="25">
      <formula>U4&lt;&gt;0</formula>
    </cfRule>
  </conditionalFormatting>
  <conditionalFormatting sqref="Q4:Q34 Q36:Q37">
    <cfRule type="expression" dxfId="121" priority="30">
      <formula>ABS($Q4)&gt;0.3</formula>
    </cfRule>
  </conditionalFormatting>
  <conditionalFormatting sqref="T5:T10 T12:T13 T16:T18 T20:T37">
    <cfRule type="cellIs" dxfId="120" priority="23" stopIfTrue="1" operator="lessThan">
      <formula>0</formula>
    </cfRule>
    <cfRule type="cellIs" dxfId="119" priority="24" operator="greaterThan">
      <formula>0</formula>
    </cfRule>
  </conditionalFormatting>
  <dataValidations disablePrompts="1" count="4">
    <dataValidation type="list" allowBlank="1" showInputMessage="1" showErrorMessage="1" sqref="J34:K34">
      <formula1>$L$34:$N$34</formula1>
    </dataValidation>
    <dataValidation type="list" allowBlank="1" showInputMessage="1" showErrorMessage="1" sqref="J33:K33">
      <formula1>$L$33:$N$33</formula1>
    </dataValidation>
    <dataValidation type="list" allowBlank="1" showInputMessage="1" showErrorMessage="1" sqref="J32:K32">
      <formula1>$L$32:$M$32</formula1>
    </dataValidation>
    <dataValidation type="list" allowBlank="1" showInputMessage="1" showErrorMessage="1" sqref="J31:K31">
      <formula1>$L$31:$M$31</formula1>
    </dataValidation>
  </dataValidations>
  <hyperlinks>
    <hyperlink ref="D48" location="权重!A1" display="权重!A1"/>
    <hyperlink ref="D49" location="目录!A1" display="目录!A1"/>
  </hyperlink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sheetPr codeName="Sheet3">
    <tabColor theme="6"/>
  </sheetPr>
  <dimension ref="A1:Y170"/>
  <sheetViews>
    <sheetView workbookViewId="0">
      <pane xSplit="8" ySplit="3" topLeftCell="I4" activePane="bottomRight" state="frozenSplit"/>
      <selection activeCell="C1" sqref="C1"/>
      <selection pane="topRight" activeCell="D1" sqref="D1"/>
      <selection pane="bottomLeft" activeCell="C22" sqref="C22"/>
      <selection pane="bottomRight" activeCell="I20" sqref="I20"/>
    </sheetView>
  </sheetViews>
  <sheetFormatPr defaultColWidth="8.875" defaultRowHeight="16.5" outlineLevelCol="2"/>
  <cols>
    <col min="1" max="2" width="20.75" style="19" hidden="1" customWidth="1" outlineLevel="1"/>
    <col min="3" max="3" width="4.625" style="8" customWidth="1" collapsed="1"/>
    <col min="4" max="4" width="42.125" style="19" customWidth="1"/>
    <col min="5" max="5" width="13.5" style="2" customWidth="1" outlineLevel="1"/>
    <col min="6" max="6" width="11.5" style="95" customWidth="1" outlineLevel="2"/>
    <col min="7" max="7" width="10.5" style="1" customWidth="1" outlineLevel="1"/>
    <col min="8" max="8" width="9" style="1" customWidth="1"/>
    <col min="9" max="9" width="9.625" style="1" customWidth="1" outlineLevel="1"/>
    <col min="10" max="10" width="12.75" style="25" customWidth="1"/>
    <col min="11" max="11" width="13.25" style="25" customWidth="1"/>
    <col min="12" max="12" width="10.5" style="1" customWidth="1"/>
    <col min="13" max="13" width="13.375" style="1" customWidth="1"/>
    <col min="14" max="14" width="13.875" style="1" customWidth="1"/>
    <col min="15" max="15" width="8.875" style="1" customWidth="1"/>
    <col min="16" max="19" width="9.625" style="1" customWidth="1"/>
    <col min="22" max="22" width="8.875" style="1"/>
    <col min="23" max="23" width="8.875" style="683" hidden="1" customWidth="1" outlineLevel="1"/>
    <col min="24" max="24" width="8.875" style="723" hidden="1" customWidth="1" outlineLevel="1"/>
    <col min="25" max="25" width="8.875" style="1" collapsed="1"/>
    <col min="26" max="16384" width="8.875" style="1"/>
  </cols>
  <sheetData>
    <row r="1" spans="1:24">
      <c r="A1" s="158"/>
      <c r="B1" s="158"/>
      <c r="C1" s="722" t="s">
        <v>27</v>
      </c>
      <c r="D1" s="158"/>
      <c r="F1" s="641"/>
      <c r="I1" s="726"/>
      <c r="J1" s="164"/>
      <c r="K1" s="239"/>
      <c r="W1" s="1671"/>
      <c r="X1" s="1672"/>
    </row>
    <row r="2" spans="1:24" s="2" customFormat="1" ht="21" customHeight="1">
      <c r="A2" s="164"/>
      <c r="B2" s="164"/>
      <c r="C2" s="35"/>
      <c r="D2" s="159"/>
      <c r="F2" s="164"/>
      <c r="J2" s="164"/>
      <c r="K2" s="239"/>
      <c r="N2" s="308" t="s">
        <v>2009</v>
      </c>
      <c r="W2" s="683" t="s">
        <v>1184</v>
      </c>
      <c r="X2" s="584"/>
    </row>
    <row r="3" spans="1:24" s="2" customFormat="1" ht="23.25" customHeight="1">
      <c r="A3" s="15" t="s">
        <v>482</v>
      </c>
      <c r="B3" s="15" t="s">
        <v>483</v>
      </c>
      <c r="C3" s="14" t="s">
        <v>230</v>
      </c>
      <c r="D3" s="15" t="s">
        <v>237</v>
      </c>
      <c r="E3" s="15" t="s">
        <v>1803</v>
      </c>
      <c r="F3" s="15" t="s">
        <v>481</v>
      </c>
      <c r="G3" s="15" t="s">
        <v>745</v>
      </c>
      <c r="H3" s="15" t="s">
        <v>584</v>
      </c>
      <c r="I3" s="15" t="s">
        <v>1201</v>
      </c>
      <c r="J3" s="15" t="s">
        <v>1707</v>
      </c>
      <c r="K3" s="721" t="s">
        <v>1855</v>
      </c>
      <c r="L3" s="15" t="s">
        <v>1202</v>
      </c>
      <c r="M3" s="721" t="s">
        <v>1883</v>
      </c>
      <c r="N3" s="15" t="s">
        <v>1863</v>
      </c>
      <c r="O3" s="15" t="s">
        <v>1203</v>
      </c>
      <c r="P3" s="15" t="s">
        <v>554</v>
      </c>
      <c r="Q3" s="766" t="s">
        <v>1949</v>
      </c>
      <c r="R3" s="766" t="s">
        <v>1950</v>
      </c>
      <c r="S3" s="766" t="s">
        <v>1951</v>
      </c>
      <c r="W3" s="585" t="s">
        <v>1677</v>
      </c>
      <c r="X3" s="584" t="s">
        <v>1689</v>
      </c>
    </row>
    <row r="4" spans="1:24" s="2" customFormat="1" ht="30.75" customHeight="1">
      <c r="A4" s="1030" t="s">
        <v>2111</v>
      </c>
      <c r="B4" s="1031" t="s">
        <v>2112</v>
      </c>
      <c r="C4" s="13">
        <v>1</v>
      </c>
      <c r="D4" s="990" t="s">
        <v>2086</v>
      </c>
      <c r="E4" s="483"/>
      <c r="F4" s="643" t="s">
        <v>488</v>
      </c>
      <c r="G4" s="638" t="s">
        <v>282</v>
      </c>
      <c r="H4" s="633">
        <v>10</v>
      </c>
      <c r="I4" s="5"/>
      <c r="J4" s="68">
        <f>IF(J6=0,"",ROUND(J5,0)/ROUND(J6,0))</f>
        <v>0.875</v>
      </c>
      <c r="K4" s="68">
        <f>IF(K6=0,"",ROUND(K5,0)/ROUND(K6,0))</f>
        <v>0.875</v>
      </c>
      <c r="L4" s="678">
        <f t="shared" ref="L4:L21" si="0">IF(AND(J4=0,K4&lt;&gt;0),1,IF(AND(J4=0,K4=0),0,K4/J4-1))</f>
        <v>0</v>
      </c>
      <c r="M4" s="631" t="str">
        <f>G4</f>
        <v>行业水平评分</v>
      </c>
      <c r="N4" s="631" t="str">
        <f>G4</f>
        <v>行业水平评分</v>
      </c>
      <c r="O4" s="512">
        <v>0</v>
      </c>
      <c r="P4" s="694">
        <v>10</v>
      </c>
      <c r="Q4" s="694">
        <f>P4*0.3</f>
        <v>3</v>
      </c>
      <c r="R4" s="694">
        <f>Q4/9</f>
        <v>0.33333333333333331</v>
      </c>
      <c r="S4" s="694">
        <f>R4/2</f>
        <v>0.16666666666666666</v>
      </c>
      <c r="W4" s="724">
        <v>0.5</v>
      </c>
      <c r="X4" s="584">
        <f>H4*K4</f>
        <v>8.75</v>
      </c>
    </row>
    <row r="5" spans="1:24" s="2" customFormat="1" ht="15.6" customHeight="1">
      <c r="A5" s="155"/>
      <c r="B5" s="629"/>
      <c r="C5" s="632"/>
      <c r="D5" s="17" t="s">
        <v>28</v>
      </c>
      <c r="E5" s="483" t="s">
        <v>256</v>
      </c>
      <c r="F5" s="636"/>
      <c r="G5" s="5"/>
      <c r="H5" s="631"/>
      <c r="I5" s="5" t="s">
        <v>274</v>
      </c>
      <c r="J5" s="634">
        <v>14</v>
      </c>
      <c r="K5" s="634">
        <v>14</v>
      </c>
      <c r="L5" s="678">
        <f t="shared" si="0"/>
        <v>0</v>
      </c>
      <c r="M5" s="58"/>
      <c r="N5" s="58"/>
      <c r="O5" s="512">
        <f>M5-N5</f>
        <v>0</v>
      </c>
      <c r="P5" s="276"/>
      <c r="Q5" s="276">
        <f>P5*0.3</f>
        <v>0</v>
      </c>
      <c r="R5" s="276">
        <f t="shared" ref="R5:R25" si="1">Q5/9</f>
        <v>0</v>
      </c>
      <c r="S5" s="276">
        <f t="shared" ref="S5:S25" si="2">R5/2</f>
        <v>0</v>
      </c>
      <c r="W5" s="724"/>
      <c r="X5" s="584"/>
    </row>
    <row r="6" spans="1:24" s="2" customFormat="1" ht="15.6" customHeight="1">
      <c r="A6" s="156"/>
      <c r="B6" s="630"/>
      <c r="C6" s="632"/>
      <c r="D6" s="17" t="s">
        <v>29</v>
      </c>
      <c r="E6" s="483" t="s">
        <v>256</v>
      </c>
      <c r="F6" s="636"/>
      <c r="G6" s="5"/>
      <c r="H6" s="631"/>
      <c r="I6" s="5" t="s">
        <v>274</v>
      </c>
      <c r="J6" s="634">
        <v>16</v>
      </c>
      <c r="K6" s="634">
        <v>16</v>
      </c>
      <c r="L6" s="678">
        <f t="shared" si="0"/>
        <v>0</v>
      </c>
      <c r="M6" s="58"/>
      <c r="N6" s="58"/>
      <c r="O6" s="512">
        <f>M6-N6</f>
        <v>0</v>
      </c>
      <c r="P6" s="276"/>
      <c r="Q6" s="276">
        <f t="shared" ref="Q6:Q25" si="3">P6*0.3</f>
        <v>0</v>
      </c>
      <c r="R6" s="276">
        <f t="shared" si="1"/>
        <v>0</v>
      </c>
      <c r="S6" s="276">
        <f t="shared" si="2"/>
        <v>0</v>
      </c>
      <c r="W6" s="724"/>
      <c r="X6" s="584"/>
    </row>
    <row r="7" spans="1:24" s="2" customFormat="1" ht="15.6" customHeight="1">
      <c r="A7" s="1665" t="s">
        <v>307</v>
      </c>
      <c r="B7" s="1668" t="s">
        <v>306</v>
      </c>
      <c r="C7" s="13">
        <v>2</v>
      </c>
      <c r="D7" s="1033" t="s">
        <v>2087</v>
      </c>
      <c r="E7" s="483"/>
      <c r="F7" s="643" t="s">
        <v>488</v>
      </c>
      <c r="G7" s="5" t="s">
        <v>286</v>
      </c>
      <c r="H7" s="633">
        <v>10</v>
      </c>
      <c r="I7" s="5"/>
      <c r="J7" s="68">
        <f>(ROUND(J8,0)+ROUND(J9,0))/ROUND(J10,0)</f>
        <v>0.54545454545454541</v>
      </c>
      <c r="K7" s="68">
        <f>(ROUND(K8,0)+ROUND(K9,0))/ROUND(K10,0)</f>
        <v>0.59090909090909094</v>
      </c>
      <c r="L7" s="678">
        <f t="shared" si="0"/>
        <v>8.3333333333333481E-2</v>
      </c>
      <c r="M7" s="631" t="str">
        <f>G7</f>
        <v>行业水平评分</v>
      </c>
      <c r="N7" s="631" t="str">
        <f>G7</f>
        <v>行业水平评分</v>
      </c>
      <c r="O7" s="512">
        <v>0</v>
      </c>
      <c r="P7" s="694">
        <v>10</v>
      </c>
      <c r="Q7" s="694">
        <f t="shared" si="3"/>
        <v>3</v>
      </c>
      <c r="R7" s="694">
        <f t="shared" si="1"/>
        <v>0.33333333333333331</v>
      </c>
      <c r="S7" s="694">
        <f t="shared" si="2"/>
        <v>0.16666666666666666</v>
      </c>
      <c r="W7" s="724">
        <v>0.5</v>
      </c>
      <c r="X7" s="584">
        <f>H7*K7</f>
        <v>5.9090909090909092</v>
      </c>
    </row>
    <row r="8" spans="1:24" s="2" customFormat="1" ht="15.6" customHeight="1">
      <c r="A8" s="1666"/>
      <c r="B8" s="1669"/>
      <c r="C8" s="632"/>
      <c r="D8" s="17" t="s">
        <v>30</v>
      </c>
      <c r="E8" s="483" t="s">
        <v>256</v>
      </c>
      <c r="F8" s="636"/>
      <c r="G8" s="5"/>
      <c r="H8" s="631"/>
      <c r="I8" s="5" t="s">
        <v>274</v>
      </c>
      <c r="J8" s="634">
        <v>8.3000000000000007</v>
      </c>
      <c r="K8" s="634">
        <v>8.3000000000000007</v>
      </c>
      <c r="L8" s="678">
        <f t="shared" si="0"/>
        <v>0</v>
      </c>
      <c r="M8" s="58"/>
      <c r="N8" s="58"/>
      <c r="O8" s="512">
        <f>M8-N8</f>
        <v>0</v>
      </c>
      <c r="P8" s="729"/>
      <c r="Q8" s="276">
        <f t="shared" si="3"/>
        <v>0</v>
      </c>
      <c r="R8" s="276">
        <f t="shared" si="1"/>
        <v>0</v>
      </c>
      <c r="S8" s="276">
        <f t="shared" si="2"/>
        <v>0</v>
      </c>
      <c r="W8" s="583"/>
      <c r="X8" s="584"/>
    </row>
    <row r="9" spans="1:24" s="2" customFormat="1" ht="15.6" customHeight="1">
      <c r="A9" s="1666"/>
      <c r="B9" s="1669"/>
      <c r="C9" s="632"/>
      <c r="D9" s="17" t="s">
        <v>31</v>
      </c>
      <c r="E9" s="483" t="s">
        <v>256</v>
      </c>
      <c r="F9" s="636"/>
      <c r="G9" s="5"/>
      <c r="H9" s="631"/>
      <c r="I9" s="5" t="s">
        <v>274</v>
      </c>
      <c r="J9" s="634">
        <v>4.0999999999999996</v>
      </c>
      <c r="K9" s="634">
        <v>5.0999999999999996</v>
      </c>
      <c r="L9" s="678">
        <f t="shared" si="0"/>
        <v>0.24390243902439024</v>
      </c>
      <c r="M9" s="58"/>
      <c r="N9" s="58"/>
      <c r="O9" s="512">
        <f t="shared" ref="O9:O21" si="4">M9-N9</f>
        <v>0</v>
      </c>
      <c r="P9" s="729"/>
      <c r="Q9" s="276">
        <f t="shared" si="3"/>
        <v>0</v>
      </c>
      <c r="R9" s="276">
        <f t="shared" si="1"/>
        <v>0</v>
      </c>
      <c r="S9" s="276">
        <f t="shared" si="2"/>
        <v>0</v>
      </c>
      <c r="W9" s="583"/>
      <c r="X9" s="584"/>
    </row>
    <row r="10" spans="1:24" s="2" customFormat="1" ht="15.6" customHeight="1">
      <c r="A10" s="1667"/>
      <c r="B10" s="1670"/>
      <c r="C10" s="632"/>
      <c r="D10" s="17" t="s">
        <v>32</v>
      </c>
      <c r="E10" s="483" t="s">
        <v>256</v>
      </c>
      <c r="F10" s="636"/>
      <c r="G10" s="5"/>
      <c r="H10" s="631"/>
      <c r="I10" s="5" t="s">
        <v>274</v>
      </c>
      <c r="J10" s="634">
        <v>21.8</v>
      </c>
      <c r="K10" s="634">
        <v>21.8</v>
      </c>
      <c r="L10" s="678">
        <f t="shared" si="0"/>
        <v>0</v>
      </c>
      <c r="M10" s="58"/>
      <c r="N10" s="58"/>
      <c r="O10" s="512">
        <f t="shared" si="4"/>
        <v>0</v>
      </c>
      <c r="P10" s="729"/>
      <c r="Q10" s="276">
        <f t="shared" si="3"/>
        <v>0</v>
      </c>
      <c r="R10" s="276">
        <f t="shared" si="1"/>
        <v>0</v>
      </c>
      <c r="S10" s="276">
        <f t="shared" si="2"/>
        <v>0</v>
      </c>
      <c r="W10" s="583"/>
      <c r="X10" s="584"/>
    </row>
    <row r="11" spans="1:24" s="2" customFormat="1" ht="15.6" customHeight="1">
      <c r="A11" s="157" t="s">
        <v>308</v>
      </c>
      <c r="B11" s="644" t="s">
        <v>309</v>
      </c>
      <c r="C11" s="13">
        <v>3</v>
      </c>
      <c r="D11" s="20" t="s">
        <v>2088</v>
      </c>
      <c r="E11" s="483" t="s">
        <v>256</v>
      </c>
      <c r="F11" s="643" t="s">
        <v>485</v>
      </c>
      <c r="G11" s="5" t="s">
        <v>286</v>
      </c>
      <c r="H11" s="633">
        <v>4</v>
      </c>
      <c r="I11" s="5" t="s">
        <v>275</v>
      </c>
      <c r="J11" s="450">
        <v>0.31830000000000003</v>
      </c>
      <c r="K11" s="450">
        <v>0.19819999999999999</v>
      </c>
      <c r="L11" s="678">
        <f t="shared" si="0"/>
        <v>-0.37731699654414086</v>
      </c>
      <c r="M11" s="631" t="str">
        <f>G11</f>
        <v>行业水平评分</v>
      </c>
      <c r="N11" s="631" t="str">
        <f>G11</f>
        <v>行业水平评分</v>
      </c>
      <c r="O11" s="512">
        <v>0</v>
      </c>
      <c r="P11" s="694">
        <v>4</v>
      </c>
      <c r="Q11" s="694">
        <f t="shared" si="3"/>
        <v>1.2</v>
      </c>
      <c r="R11" s="694">
        <f t="shared" si="1"/>
        <v>0.13333333333333333</v>
      </c>
      <c r="S11" s="694">
        <f t="shared" si="2"/>
        <v>6.6666666666666666E-2</v>
      </c>
      <c r="W11" s="724">
        <v>1</v>
      </c>
      <c r="X11" s="584">
        <v>4</v>
      </c>
    </row>
    <row r="12" spans="1:24" s="2" customFormat="1" ht="15.6" customHeight="1">
      <c r="A12" s="157" t="s">
        <v>310</v>
      </c>
      <c r="B12" s="644" t="s">
        <v>311</v>
      </c>
      <c r="C12" s="13">
        <v>4</v>
      </c>
      <c r="D12" s="20" t="s">
        <v>2089</v>
      </c>
      <c r="E12" s="483" t="s">
        <v>256</v>
      </c>
      <c r="F12" s="643" t="s">
        <v>485</v>
      </c>
      <c r="G12" s="5" t="s">
        <v>286</v>
      </c>
      <c r="H12" s="633">
        <v>6</v>
      </c>
      <c r="I12" s="5" t="s">
        <v>275</v>
      </c>
      <c r="J12" s="450">
        <v>0.1973</v>
      </c>
      <c r="K12" s="450">
        <v>0.2064</v>
      </c>
      <c r="L12" s="678">
        <f t="shared" si="0"/>
        <v>4.6122655854029304E-2</v>
      </c>
      <c r="M12" s="631" t="str">
        <f>G12</f>
        <v>行业水平评分</v>
      </c>
      <c r="N12" s="631" t="str">
        <f>G12</f>
        <v>行业水平评分</v>
      </c>
      <c r="O12" s="512">
        <v>0</v>
      </c>
      <c r="P12" s="694">
        <v>6</v>
      </c>
      <c r="Q12" s="694">
        <f t="shared" si="3"/>
        <v>1.7999999999999998</v>
      </c>
      <c r="R12" s="694">
        <f t="shared" si="1"/>
        <v>0.19999999999999998</v>
      </c>
      <c r="S12" s="694">
        <f t="shared" si="2"/>
        <v>9.9999999999999992E-2</v>
      </c>
      <c r="W12" s="724">
        <v>1</v>
      </c>
      <c r="X12" s="584">
        <v>6</v>
      </c>
    </row>
    <row r="13" spans="1:24" s="2" customFormat="1" ht="15.6" customHeight="1">
      <c r="A13" s="157" t="s">
        <v>312</v>
      </c>
      <c r="B13" s="644" t="s">
        <v>313</v>
      </c>
      <c r="C13" s="13">
        <v>5</v>
      </c>
      <c r="D13" s="20" t="s">
        <v>2090</v>
      </c>
      <c r="E13" s="483" t="s">
        <v>256</v>
      </c>
      <c r="F13" s="643" t="s">
        <v>485</v>
      </c>
      <c r="G13" s="5" t="s">
        <v>286</v>
      </c>
      <c r="H13" s="633">
        <v>10</v>
      </c>
      <c r="I13" s="5" t="s">
        <v>276</v>
      </c>
      <c r="J13" s="450">
        <v>0.16</v>
      </c>
      <c r="K13" s="450">
        <v>0.17</v>
      </c>
      <c r="L13" s="678">
        <f t="shared" si="0"/>
        <v>6.25E-2</v>
      </c>
      <c r="M13" s="631" t="str">
        <f>G13</f>
        <v>行业水平评分</v>
      </c>
      <c r="N13" s="631" t="str">
        <f>G13</f>
        <v>行业水平评分</v>
      </c>
      <c r="O13" s="512">
        <v>0</v>
      </c>
      <c r="P13" s="694">
        <v>10</v>
      </c>
      <c r="Q13" s="694">
        <f t="shared" si="3"/>
        <v>3</v>
      </c>
      <c r="R13" s="694">
        <f t="shared" si="1"/>
        <v>0.33333333333333331</v>
      </c>
      <c r="S13" s="694">
        <f t="shared" si="2"/>
        <v>0.16666666666666666</v>
      </c>
      <c r="W13" s="724">
        <v>1</v>
      </c>
      <c r="X13" s="584">
        <v>10</v>
      </c>
    </row>
    <row r="14" spans="1:24" s="2" customFormat="1" ht="15.6" customHeight="1">
      <c r="A14" s="157" t="s">
        <v>314</v>
      </c>
      <c r="B14" s="644" t="s">
        <v>315</v>
      </c>
      <c r="C14" s="13">
        <v>6</v>
      </c>
      <c r="D14" s="20" t="s">
        <v>2091</v>
      </c>
      <c r="E14" s="483" t="s">
        <v>256</v>
      </c>
      <c r="F14" s="643" t="s">
        <v>485</v>
      </c>
      <c r="G14" s="5" t="s">
        <v>286</v>
      </c>
      <c r="H14" s="633">
        <v>7</v>
      </c>
      <c r="I14" s="5" t="s">
        <v>271</v>
      </c>
      <c r="J14" s="634">
        <v>3.4979</v>
      </c>
      <c r="K14" s="634">
        <v>4.7420999999999998</v>
      </c>
      <c r="L14" s="678">
        <f t="shared" si="0"/>
        <v>0.35569913376597384</v>
      </c>
      <c r="M14" s="631" t="str">
        <f>G14</f>
        <v>行业水平评分</v>
      </c>
      <c r="N14" s="631" t="str">
        <f>G14</f>
        <v>行业水平评分</v>
      </c>
      <c r="O14" s="512">
        <v>0</v>
      </c>
      <c r="P14" s="727">
        <v>7</v>
      </c>
      <c r="Q14" s="694">
        <f t="shared" si="3"/>
        <v>2.1</v>
      </c>
      <c r="R14" s="694">
        <f t="shared" si="1"/>
        <v>0.23333333333333334</v>
      </c>
      <c r="S14" s="694">
        <f t="shared" si="2"/>
        <v>0.11666666666666667</v>
      </c>
      <c r="W14" s="724">
        <v>1</v>
      </c>
      <c r="X14" s="584">
        <v>7</v>
      </c>
    </row>
    <row r="15" spans="1:24" s="2" customFormat="1" ht="15.6" customHeight="1">
      <c r="A15" s="157" t="s">
        <v>316</v>
      </c>
      <c r="B15" s="644" t="s">
        <v>294</v>
      </c>
      <c r="C15" s="13">
        <v>7</v>
      </c>
      <c r="D15" s="20" t="s">
        <v>568</v>
      </c>
      <c r="E15" s="483" t="s">
        <v>542</v>
      </c>
      <c r="F15" s="643" t="s">
        <v>540</v>
      </c>
      <c r="G15" s="58" t="s">
        <v>284</v>
      </c>
      <c r="H15" s="633">
        <v>8</v>
      </c>
      <c r="I15" s="5"/>
      <c r="J15" s="634">
        <v>0</v>
      </c>
      <c r="K15" s="634">
        <v>0</v>
      </c>
      <c r="L15" s="678">
        <f t="shared" si="0"/>
        <v>0</v>
      </c>
      <c r="M15" s="631">
        <f>MAX(H15-K15*0.5,0)</f>
        <v>8</v>
      </c>
      <c r="N15" s="631">
        <f>MAX(M15-J15*0.5,0)</f>
        <v>8</v>
      </c>
      <c r="O15" s="512">
        <f t="shared" si="4"/>
        <v>0</v>
      </c>
      <c r="P15" s="728">
        <f>H15-M15</f>
        <v>0</v>
      </c>
      <c r="Q15" s="276">
        <f t="shared" si="3"/>
        <v>0</v>
      </c>
      <c r="R15" s="276">
        <f t="shared" si="1"/>
        <v>0</v>
      </c>
      <c r="S15" s="276">
        <f t="shared" si="2"/>
        <v>0</v>
      </c>
      <c r="W15" s="724">
        <v>1</v>
      </c>
      <c r="X15" s="584">
        <f>M15</f>
        <v>8</v>
      </c>
    </row>
    <row r="16" spans="1:24" s="2" customFormat="1" ht="15.6" customHeight="1">
      <c r="A16" s="157" t="s">
        <v>317</v>
      </c>
      <c r="B16" s="644" t="s">
        <v>318</v>
      </c>
      <c r="C16" s="13">
        <v>8</v>
      </c>
      <c r="D16" s="20" t="s">
        <v>569</v>
      </c>
      <c r="E16" s="483" t="s">
        <v>258</v>
      </c>
      <c r="F16" s="643" t="s">
        <v>540</v>
      </c>
      <c r="G16" s="58" t="s">
        <v>284</v>
      </c>
      <c r="H16" s="633">
        <v>5</v>
      </c>
      <c r="I16" s="5" t="s">
        <v>732</v>
      </c>
      <c r="J16" s="634">
        <v>0</v>
      </c>
      <c r="K16" s="634">
        <v>0</v>
      </c>
      <c r="L16" s="678">
        <f t="shared" si="0"/>
        <v>0</v>
      </c>
      <c r="M16" s="631">
        <f>MAX(H16-K16,0)</f>
        <v>5</v>
      </c>
      <c r="N16" s="631">
        <f>MAX(M16-J16,0)</f>
        <v>5</v>
      </c>
      <c r="O16" s="512">
        <f t="shared" si="4"/>
        <v>0</v>
      </c>
      <c r="P16" s="728">
        <f>H16-M16</f>
        <v>0</v>
      </c>
      <c r="Q16" s="276">
        <f t="shared" si="3"/>
        <v>0</v>
      </c>
      <c r="R16" s="276">
        <f t="shared" si="1"/>
        <v>0</v>
      </c>
      <c r="S16" s="276">
        <f t="shared" si="2"/>
        <v>0</v>
      </c>
      <c r="W16" s="724">
        <v>1</v>
      </c>
      <c r="X16" s="584">
        <f>M16</f>
        <v>5</v>
      </c>
    </row>
    <row r="17" spans="1:24" s="2" customFormat="1" ht="15.6" customHeight="1">
      <c r="A17" s="157" t="s">
        <v>319</v>
      </c>
      <c r="B17" s="644" t="s">
        <v>318</v>
      </c>
      <c r="C17" s="13">
        <v>9</v>
      </c>
      <c r="D17" s="20" t="s">
        <v>570</v>
      </c>
      <c r="E17" s="483" t="s">
        <v>256</v>
      </c>
      <c r="F17" s="643" t="s">
        <v>540</v>
      </c>
      <c r="G17" s="58" t="s">
        <v>284</v>
      </c>
      <c r="H17" s="633">
        <v>5</v>
      </c>
      <c r="I17" s="5" t="s">
        <v>732</v>
      </c>
      <c r="J17" s="634">
        <v>0</v>
      </c>
      <c r="K17" s="634">
        <v>0</v>
      </c>
      <c r="L17" s="678">
        <f t="shared" si="0"/>
        <v>0</v>
      </c>
      <c r="M17" s="631">
        <f>MAX(H17-K17,0)</f>
        <v>5</v>
      </c>
      <c r="N17" s="631">
        <f>MAX(M17-J17,0)</f>
        <v>5</v>
      </c>
      <c r="O17" s="512">
        <f t="shared" si="4"/>
        <v>0</v>
      </c>
      <c r="P17" s="728">
        <f>H17-M17</f>
        <v>0</v>
      </c>
      <c r="Q17" s="276">
        <f t="shared" si="3"/>
        <v>0</v>
      </c>
      <c r="R17" s="276">
        <f t="shared" si="1"/>
        <v>0</v>
      </c>
      <c r="S17" s="276">
        <f t="shared" si="2"/>
        <v>0</v>
      </c>
      <c r="W17" s="724">
        <v>1</v>
      </c>
      <c r="X17" s="584">
        <f>M17</f>
        <v>5</v>
      </c>
    </row>
    <row r="18" spans="1:24" s="2" customFormat="1" ht="31.5" customHeight="1">
      <c r="A18" s="157" t="s">
        <v>557</v>
      </c>
      <c r="B18" s="644" t="s">
        <v>528</v>
      </c>
      <c r="C18" s="13">
        <v>10</v>
      </c>
      <c r="D18" s="990" t="s">
        <v>255</v>
      </c>
      <c r="E18" s="483" t="s">
        <v>256</v>
      </c>
      <c r="F18" s="643" t="s">
        <v>485</v>
      </c>
      <c r="G18" s="638" t="s">
        <v>1857</v>
      </c>
      <c r="H18" s="633">
        <v>11</v>
      </c>
      <c r="I18" s="5" t="s">
        <v>271</v>
      </c>
      <c r="J18" s="634">
        <v>1</v>
      </c>
      <c r="K18" s="634">
        <v>1</v>
      </c>
      <c r="L18" s="678">
        <f t="shared" si="0"/>
        <v>0</v>
      </c>
      <c r="M18" s="631" t="str">
        <f>IF(K18=0,11,$G$18)</f>
        <v>行业排序得分</v>
      </c>
      <c r="N18" s="631" t="str">
        <f>IF(J18=0,11,$G$18)</f>
        <v>行业排序得分</v>
      </c>
      <c r="O18" s="512">
        <v>0</v>
      </c>
      <c r="P18" s="694">
        <v>11</v>
      </c>
      <c r="Q18" s="694">
        <f t="shared" si="3"/>
        <v>3.3</v>
      </c>
      <c r="R18" s="694">
        <f t="shared" si="1"/>
        <v>0.36666666666666664</v>
      </c>
      <c r="S18" s="694">
        <f t="shared" si="2"/>
        <v>0.18333333333333332</v>
      </c>
      <c r="W18" s="724">
        <v>1</v>
      </c>
      <c r="X18" s="584">
        <v>11</v>
      </c>
    </row>
    <row r="19" spans="1:24" s="2" customFormat="1" ht="15.6" customHeight="1">
      <c r="A19" s="154" t="s">
        <v>582</v>
      </c>
      <c r="B19" s="628" t="s">
        <v>320</v>
      </c>
      <c r="C19" s="13">
        <v>11</v>
      </c>
      <c r="D19" s="990" t="s">
        <v>2099</v>
      </c>
      <c r="E19" s="483" t="s">
        <v>542</v>
      </c>
      <c r="F19" s="643" t="s">
        <v>540</v>
      </c>
      <c r="G19" s="58" t="s">
        <v>283</v>
      </c>
      <c r="H19" s="1592">
        <v>12</v>
      </c>
      <c r="I19" s="458" t="s">
        <v>2049</v>
      </c>
      <c r="J19" s="634">
        <v>11</v>
      </c>
      <c r="K19" s="634">
        <v>9</v>
      </c>
      <c r="L19" s="678">
        <f t="shared" si="0"/>
        <v>-0.18181818181818177</v>
      </c>
      <c r="M19" s="1675">
        <f>$H$19-K19*0.5-K20</f>
        <v>7.5</v>
      </c>
      <c r="N19" s="1675">
        <f>$H$19-J19*0.5-J20</f>
        <v>5.5</v>
      </c>
      <c r="O19" s="1529">
        <f t="shared" si="4"/>
        <v>2</v>
      </c>
      <c r="P19" s="1673">
        <f>H19-M19</f>
        <v>4.5</v>
      </c>
      <c r="Q19" s="1673">
        <f t="shared" si="3"/>
        <v>1.3499999999999999</v>
      </c>
      <c r="R19" s="1673">
        <f t="shared" si="1"/>
        <v>0.15</v>
      </c>
      <c r="S19" s="1673">
        <f t="shared" si="2"/>
        <v>7.4999999999999997E-2</v>
      </c>
      <c r="W19" s="724">
        <v>1</v>
      </c>
      <c r="X19" s="584">
        <f>M19</f>
        <v>7.5</v>
      </c>
    </row>
    <row r="20" spans="1:24" s="2" customFormat="1" ht="15.6" customHeight="1">
      <c r="A20" s="156"/>
      <c r="B20" s="630"/>
      <c r="C20" s="13">
        <v>12</v>
      </c>
      <c r="D20" s="20" t="s">
        <v>2092</v>
      </c>
      <c r="E20" s="483" t="s">
        <v>542</v>
      </c>
      <c r="F20" s="643" t="s">
        <v>540</v>
      </c>
      <c r="G20" s="58" t="s">
        <v>283</v>
      </c>
      <c r="H20" s="1592"/>
      <c r="I20" s="458" t="s">
        <v>2050</v>
      </c>
      <c r="J20" s="634">
        <v>1</v>
      </c>
      <c r="K20" s="634">
        <v>0</v>
      </c>
      <c r="L20" s="678">
        <f t="shared" si="0"/>
        <v>-1</v>
      </c>
      <c r="M20" s="1675"/>
      <c r="N20" s="1676"/>
      <c r="O20" s="1531"/>
      <c r="P20" s="1674"/>
      <c r="Q20" s="1674"/>
      <c r="R20" s="1674"/>
      <c r="S20" s="1674"/>
      <c r="W20" s="724"/>
      <c r="X20" s="584">
        <f>M20</f>
        <v>0</v>
      </c>
    </row>
    <row r="21" spans="1:24" s="2" customFormat="1" ht="15.6" customHeight="1">
      <c r="A21" s="154" t="s">
        <v>321</v>
      </c>
      <c r="B21" s="628" t="s">
        <v>322</v>
      </c>
      <c r="C21" s="13">
        <v>13</v>
      </c>
      <c r="D21" s="20" t="s">
        <v>571</v>
      </c>
      <c r="E21" s="483" t="s">
        <v>256</v>
      </c>
      <c r="F21" s="643" t="s">
        <v>540</v>
      </c>
      <c r="G21" s="58" t="s">
        <v>283</v>
      </c>
      <c r="H21" s="633">
        <v>12</v>
      </c>
      <c r="I21" s="5" t="s">
        <v>733</v>
      </c>
      <c r="J21" s="634">
        <v>0</v>
      </c>
      <c r="K21" s="634">
        <v>0</v>
      </c>
      <c r="L21" s="678">
        <f t="shared" si="0"/>
        <v>0</v>
      </c>
      <c r="M21" s="631">
        <f>MAX(H21-K21,0)</f>
        <v>12</v>
      </c>
      <c r="N21" s="1023">
        <f>MAX(M21-J21,0)</f>
        <v>12</v>
      </c>
      <c r="O21" s="897">
        <f t="shared" si="4"/>
        <v>0</v>
      </c>
      <c r="P21" s="728">
        <f>H21-M21</f>
        <v>0</v>
      </c>
      <c r="Q21" s="276">
        <f t="shared" si="3"/>
        <v>0</v>
      </c>
      <c r="R21" s="276">
        <f t="shared" si="1"/>
        <v>0</v>
      </c>
      <c r="S21" s="276">
        <f t="shared" si="2"/>
        <v>0</v>
      </c>
      <c r="W21" s="724">
        <v>1</v>
      </c>
      <c r="X21" s="584">
        <f>M21</f>
        <v>12</v>
      </c>
    </row>
    <row r="22" spans="1:24" s="2" customFormat="1" ht="15.6" customHeight="1">
      <c r="A22" s="58"/>
      <c r="B22" s="725"/>
      <c r="C22" s="698"/>
      <c r="D22" s="564" t="s">
        <v>279</v>
      </c>
      <c r="E22" s="730"/>
      <c r="F22" s="58"/>
      <c r="G22" s="5"/>
      <c r="H22" s="731">
        <f>SUM(H4:H21)</f>
        <v>100</v>
      </c>
      <c r="I22" s="12"/>
      <c r="J22" s="59"/>
      <c r="K22" s="59"/>
      <c r="L22" s="5"/>
      <c r="M22" s="786">
        <f>SUBTOTAL(9,M3:M21)</f>
        <v>37.5</v>
      </c>
      <c r="N22" s="786">
        <f>SUBTOTAL(9,N3:N21)</f>
        <v>35.5</v>
      </c>
      <c r="O22" s="1035">
        <f>SUM(O4:O21)</f>
        <v>2</v>
      </c>
      <c r="P22" s="896">
        <f>SUM(P4:P20)</f>
        <v>62.5</v>
      </c>
      <c r="Q22" s="855">
        <f t="shared" si="3"/>
        <v>18.75</v>
      </c>
      <c r="R22" s="855">
        <f t="shared" si="1"/>
        <v>2.0833333333333335</v>
      </c>
      <c r="S22" s="855">
        <f t="shared" si="2"/>
        <v>1.0416666666666667</v>
      </c>
      <c r="W22" s="585"/>
      <c r="X22" s="584"/>
    </row>
    <row r="23" spans="1:24">
      <c r="D23" s="564" t="s">
        <v>1885</v>
      </c>
      <c r="H23" s="633">
        <f>SUM(H15:H17)+SUM(H19:H21)</f>
        <v>42</v>
      </c>
      <c r="L23" s="66">
        <f>H23-M23-P23</f>
        <v>0</v>
      </c>
      <c r="M23" s="733">
        <f>SUM(M19:M21)+SUM(M15:M17)</f>
        <v>37.5</v>
      </c>
      <c r="N23" s="1034">
        <f>SUM(N19:N21)+SUM(N15:N17)</f>
        <v>35.5</v>
      </c>
      <c r="O23" s="857"/>
      <c r="P23" s="856">
        <f>SUM(P15:P17)+SUM(P19:P21)</f>
        <v>4.5</v>
      </c>
      <c r="Q23" s="855">
        <f t="shared" si="3"/>
        <v>1.3499999999999999</v>
      </c>
      <c r="R23" s="855">
        <f t="shared" si="1"/>
        <v>0.15</v>
      </c>
      <c r="S23" s="855">
        <f t="shared" si="2"/>
        <v>7.4999999999999997E-2</v>
      </c>
      <c r="T23" s="564" t="s">
        <v>1814</v>
      </c>
    </row>
    <row r="24" spans="1:24">
      <c r="D24" s="564" t="s">
        <v>1886</v>
      </c>
      <c r="H24" s="633">
        <v>11</v>
      </c>
      <c r="L24" s="66">
        <f>H24-M24-P24</f>
        <v>0</v>
      </c>
      <c r="M24" s="733">
        <v>0</v>
      </c>
      <c r="N24" s="733">
        <v>0</v>
      </c>
      <c r="O24" s="726"/>
      <c r="P24" s="856">
        <f>P18</f>
        <v>11</v>
      </c>
      <c r="Q24" s="855">
        <f t="shared" si="3"/>
        <v>3.3</v>
      </c>
      <c r="R24" s="855">
        <f t="shared" si="1"/>
        <v>0.36666666666666664</v>
      </c>
      <c r="S24" s="855">
        <f t="shared" si="2"/>
        <v>0.18333333333333332</v>
      </c>
      <c r="T24" s="564" t="s">
        <v>1887</v>
      </c>
    </row>
    <row r="25" spans="1:24">
      <c r="D25" s="564" t="s">
        <v>1866</v>
      </c>
      <c r="H25" s="633">
        <f>SUM(H11:H14)+H7+H4</f>
        <v>47</v>
      </c>
      <c r="L25" s="66">
        <f>H25-M25-P25</f>
        <v>0</v>
      </c>
      <c r="M25" s="733">
        <v>0</v>
      </c>
      <c r="N25" s="733">
        <v>0</v>
      </c>
      <c r="O25" s="726"/>
      <c r="P25" s="856">
        <f>P4+P7+SUM(P11:P14)</f>
        <v>47</v>
      </c>
      <c r="Q25" s="855">
        <f t="shared" si="3"/>
        <v>14.1</v>
      </c>
      <c r="R25" s="855">
        <f t="shared" si="1"/>
        <v>1.5666666666666667</v>
      </c>
      <c r="S25" s="855">
        <f t="shared" si="2"/>
        <v>0.78333333333333333</v>
      </c>
      <c r="T25" s="564" t="s">
        <v>1888</v>
      </c>
    </row>
    <row r="26" spans="1:24">
      <c r="D26" s="549" t="s">
        <v>550</v>
      </c>
      <c r="F26" s="94"/>
      <c r="G26" s="2"/>
      <c r="H26" s="2"/>
      <c r="I26" s="2"/>
      <c r="J26" s="24"/>
      <c r="K26" s="24"/>
      <c r="M26" s="733">
        <v>0</v>
      </c>
      <c r="N26" s="733">
        <v>0</v>
      </c>
      <c r="O26" s="726"/>
    </row>
    <row r="27" spans="1:24" s="2" customFormat="1" ht="15.6" customHeight="1">
      <c r="A27" s="18"/>
      <c r="B27" s="18"/>
      <c r="C27" s="7"/>
      <c r="D27" s="549" t="s">
        <v>552</v>
      </c>
      <c r="F27" s="94"/>
      <c r="J27" s="24"/>
      <c r="K27" s="24"/>
      <c r="M27" s="733">
        <f>58-M26</f>
        <v>58</v>
      </c>
      <c r="N27" s="733">
        <f>58-N26</f>
        <v>58</v>
      </c>
      <c r="O27" s="726"/>
      <c r="W27" s="585"/>
      <c r="X27" s="584"/>
    </row>
    <row r="28" spans="1:24" s="2" customFormat="1" ht="14.25">
      <c r="A28" s="18"/>
      <c r="B28" s="18"/>
      <c r="C28" s="7"/>
      <c r="D28" s="549" t="s">
        <v>553</v>
      </c>
      <c r="F28" s="94"/>
      <c r="J28" s="24"/>
      <c r="K28" s="24"/>
      <c r="M28" s="735">
        <f>100-SUM(M23:M25)</f>
        <v>62.5</v>
      </c>
      <c r="N28" s="736">
        <f>100-SUM(N23:N25)</f>
        <v>64.5</v>
      </c>
      <c r="O28" s="89"/>
      <c r="W28" s="585"/>
      <c r="X28" s="584"/>
    </row>
    <row r="29" spans="1:24" s="2" customFormat="1" ht="15.6" customHeight="1">
      <c r="A29" s="18"/>
      <c r="B29" s="18"/>
      <c r="C29" s="7"/>
      <c r="O29" s="89"/>
      <c r="W29" s="585"/>
      <c r="X29" s="584"/>
    </row>
    <row r="31" spans="1:24">
      <c r="D31" s="879" t="s">
        <v>1960</v>
      </c>
    </row>
    <row r="32" spans="1:24">
      <c r="D32" s="893" t="s">
        <v>2008</v>
      </c>
    </row>
    <row r="33" spans="1:24" s="2" customFormat="1" ht="14.25">
      <c r="A33" s="84"/>
      <c r="B33" s="84"/>
      <c r="C33" s="7"/>
      <c r="D33"/>
      <c r="F33" s="96"/>
      <c r="J33" s="24"/>
      <c r="K33" s="24"/>
      <c r="W33" s="585"/>
      <c r="X33" s="584"/>
    </row>
    <row r="34" spans="1:24" s="2" customFormat="1" ht="14.25">
      <c r="A34" s="84"/>
      <c r="B34" s="84"/>
      <c r="C34" s="7"/>
      <c r="D34"/>
      <c r="F34" s="96"/>
      <c r="J34" s="24"/>
      <c r="K34" s="24"/>
      <c r="W34" s="585"/>
      <c r="X34" s="584"/>
    </row>
    <row r="35" spans="1:24" s="2" customFormat="1" ht="14.25">
      <c r="A35" s="84"/>
      <c r="B35" s="84"/>
      <c r="C35" s="7"/>
      <c r="D35"/>
      <c r="F35" s="96"/>
      <c r="J35" s="24"/>
      <c r="K35" s="24"/>
      <c r="W35" s="585"/>
      <c r="X35" s="584"/>
    </row>
    <row r="36" spans="1:24" s="2" customFormat="1" ht="14.25">
      <c r="A36" s="84"/>
      <c r="B36" s="84"/>
      <c r="C36" s="7"/>
      <c r="D36"/>
      <c r="F36" s="96"/>
      <c r="J36" s="24"/>
      <c r="K36" s="24"/>
      <c r="W36" s="585"/>
      <c r="X36" s="584"/>
    </row>
    <row r="37" spans="1:24" s="2" customFormat="1" ht="14.25">
      <c r="A37" s="84"/>
      <c r="B37" s="84"/>
      <c r="C37" s="7"/>
      <c r="D37"/>
      <c r="F37" s="96"/>
      <c r="J37" s="24"/>
      <c r="K37" s="24"/>
      <c r="W37" s="585"/>
      <c r="X37" s="584"/>
    </row>
    <row r="38" spans="1:24" s="2" customFormat="1" ht="14.25">
      <c r="A38" s="84"/>
      <c r="B38" s="84"/>
      <c r="C38" s="7"/>
      <c r="D38"/>
      <c r="F38" s="96"/>
      <c r="J38" s="24"/>
      <c r="K38" s="24"/>
      <c r="W38" s="585"/>
      <c r="X38" s="584"/>
    </row>
    <row r="39" spans="1:24" s="2" customFormat="1" ht="14.25">
      <c r="A39" s="84"/>
      <c r="B39" s="84"/>
      <c r="C39" s="7"/>
      <c r="D39"/>
      <c r="F39" s="96"/>
      <c r="J39" s="24"/>
      <c r="K39" s="24"/>
      <c r="W39" s="585"/>
      <c r="X39" s="584"/>
    </row>
    <row r="40" spans="1:24" s="2" customFormat="1" ht="14.25">
      <c r="A40" s="18"/>
      <c r="B40" s="18"/>
      <c r="C40" s="7"/>
      <c r="D40" s="18"/>
      <c r="F40" s="94"/>
      <c r="J40" s="24"/>
      <c r="K40" s="24"/>
      <c r="W40" s="585"/>
      <c r="X40" s="584"/>
    </row>
    <row r="41" spans="1:24" s="2" customFormat="1" ht="14.25">
      <c r="A41" s="18"/>
      <c r="B41" s="18"/>
      <c r="C41" s="7"/>
      <c r="D41" s="18"/>
      <c r="F41" s="94"/>
      <c r="J41" s="24"/>
      <c r="K41" s="24"/>
      <c r="W41" s="585"/>
      <c r="X41" s="584"/>
    </row>
    <row r="42" spans="1:24" s="2" customFormat="1" ht="14.25">
      <c r="A42" s="18"/>
      <c r="B42" s="18"/>
      <c r="C42" s="7"/>
      <c r="D42" s="18"/>
      <c r="F42" s="94"/>
      <c r="J42" s="24"/>
      <c r="K42" s="24"/>
      <c r="W42" s="585"/>
      <c r="X42" s="584"/>
    </row>
    <row r="43" spans="1:24" s="2" customFormat="1" ht="14.25">
      <c r="A43" s="18"/>
      <c r="B43" s="18"/>
      <c r="C43" s="7"/>
      <c r="D43" s="18"/>
      <c r="F43" s="94"/>
      <c r="J43" s="24"/>
      <c r="K43" s="24"/>
      <c r="W43" s="585"/>
      <c r="X43" s="584"/>
    </row>
    <row r="44" spans="1:24" s="2" customFormat="1" ht="14.25">
      <c r="A44" s="18"/>
      <c r="B44" s="18"/>
      <c r="C44" s="7"/>
      <c r="D44" s="18"/>
      <c r="F44" s="94"/>
      <c r="J44" s="24"/>
      <c r="K44" s="24"/>
      <c r="W44" s="585"/>
      <c r="X44" s="584"/>
    </row>
    <row r="45" spans="1:24" s="2" customFormat="1" ht="14.25">
      <c r="A45" s="18"/>
      <c r="B45" s="18"/>
      <c r="C45" s="7"/>
      <c r="D45" s="18"/>
      <c r="F45" s="94"/>
      <c r="J45" s="24"/>
      <c r="K45" s="24"/>
      <c r="W45" s="585"/>
      <c r="X45" s="584"/>
    </row>
    <row r="46" spans="1:24" s="2" customFormat="1" ht="14.25">
      <c r="A46" s="18"/>
      <c r="B46" s="18"/>
      <c r="C46" s="7"/>
      <c r="D46" s="18"/>
      <c r="F46" s="94"/>
      <c r="J46" s="24"/>
      <c r="K46" s="24"/>
      <c r="W46" s="585"/>
      <c r="X46" s="584"/>
    </row>
    <row r="47" spans="1:24" s="2" customFormat="1" ht="14.25">
      <c r="A47" s="18"/>
      <c r="B47" s="18"/>
      <c r="C47" s="7"/>
      <c r="D47" s="18"/>
      <c r="F47" s="94"/>
      <c r="J47" s="24"/>
      <c r="K47" s="24"/>
      <c r="W47" s="585"/>
      <c r="X47" s="584"/>
    </row>
    <row r="48" spans="1:24" s="2" customFormat="1" ht="14.25">
      <c r="A48" s="18"/>
      <c r="B48" s="18"/>
      <c r="C48" s="7"/>
      <c r="D48" s="18"/>
      <c r="F48" s="94"/>
      <c r="J48" s="24"/>
      <c r="K48" s="24"/>
      <c r="W48" s="585"/>
      <c r="X48" s="584"/>
    </row>
    <row r="49" spans="1:24" s="2" customFormat="1" ht="14.25">
      <c r="A49" s="18"/>
      <c r="B49" s="18"/>
      <c r="C49" s="7"/>
      <c r="D49" s="18"/>
      <c r="F49" s="94"/>
      <c r="J49" s="24"/>
      <c r="K49" s="24"/>
      <c r="W49" s="585"/>
      <c r="X49" s="584"/>
    </row>
    <row r="50" spans="1:24" s="2" customFormat="1" ht="14.25">
      <c r="A50" s="18"/>
      <c r="B50" s="18"/>
      <c r="C50" s="7"/>
      <c r="D50" s="18"/>
      <c r="F50" s="94"/>
      <c r="J50" s="24"/>
      <c r="K50" s="24"/>
      <c r="W50" s="585"/>
      <c r="X50" s="584"/>
    </row>
    <row r="51" spans="1:24" s="2" customFormat="1" ht="14.25">
      <c r="A51" s="18"/>
      <c r="B51" s="18"/>
      <c r="C51" s="7"/>
      <c r="D51" s="18"/>
      <c r="F51" s="94"/>
      <c r="J51" s="24"/>
      <c r="K51" s="24"/>
      <c r="W51" s="585"/>
      <c r="X51" s="584"/>
    </row>
    <row r="52" spans="1:24" s="2" customFormat="1" ht="14.25">
      <c r="A52" s="18"/>
      <c r="B52" s="18"/>
      <c r="C52" s="7"/>
      <c r="D52" s="18"/>
      <c r="F52" s="94"/>
      <c r="J52" s="24"/>
      <c r="K52" s="24"/>
      <c r="W52" s="585"/>
      <c r="X52" s="584"/>
    </row>
    <row r="53" spans="1:24" s="2" customFormat="1" ht="14.25">
      <c r="A53" s="18"/>
      <c r="B53" s="18"/>
      <c r="C53" s="7"/>
      <c r="D53" s="18"/>
      <c r="F53" s="94"/>
      <c r="J53" s="24"/>
      <c r="K53" s="24"/>
      <c r="W53" s="585"/>
      <c r="X53" s="584"/>
    </row>
    <row r="54" spans="1:24" s="2" customFormat="1" ht="14.25">
      <c r="A54" s="18"/>
      <c r="B54" s="18"/>
      <c r="C54" s="7"/>
      <c r="D54" s="18"/>
      <c r="F54" s="94"/>
      <c r="J54" s="24"/>
      <c r="K54" s="24"/>
      <c r="W54" s="585"/>
      <c r="X54" s="584"/>
    </row>
    <row r="55" spans="1:24" s="2" customFormat="1" ht="14.25">
      <c r="A55" s="18"/>
      <c r="B55" s="18"/>
      <c r="C55" s="7"/>
      <c r="D55" s="18"/>
      <c r="F55" s="94"/>
      <c r="J55" s="24"/>
      <c r="K55" s="24"/>
      <c r="W55" s="585"/>
      <c r="X55" s="584"/>
    </row>
    <row r="56" spans="1:24" s="2" customFormat="1" ht="14.25">
      <c r="A56" s="18"/>
      <c r="B56" s="18"/>
      <c r="C56" s="7"/>
      <c r="D56" s="18"/>
      <c r="F56" s="94"/>
      <c r="J56" s="24"/>
      <c r="K56" s="24"/>
      <c r="W56" s="585"/>
      <c r="X56" s="584"/>
    </row>
    <row r="57" spans="1:24" s="2" customFormat="1" ht="14.25">
      <c r="A57" s="18"/>
      <c r="B57" s="18"/>
      <c r="C57" s="7"/>
      <c r="D57" s="18"/>
      <c r="F57" s="94"/>
      <c r="J57" s="24"/>
      <c r="K57" s="24"/>
      <c r="W57" s="585"/>
      <c r="X57" s="584"/>
    </row>
    <row r="58" spans="1:24" s="2" customFormat="1" ht="14.25">
      <c r="A58" s="18"/>
      <c r="B58" s="18"/>
      <c r="C58" s="7"/>
      <c r="D58" s="18"/>
      <c r="F58" s="94"/>
      <c r="J58" s="24"/>
      <c r="K58" s="24"/>
      <c r="W58" s="585"/>
      <c r="X58" s="584"/>
    </row>
    <row r="59" spans="1:24" s="2" customFormat="1" ht="14.25">
      <c r="A59" s="18"/>
      <c r="B59" s="18"/>
      <c r="C59" s="7"/>
      <c r="D59" s="18"/>
      <c r="F59" s="94"/>
      <c r="J59" s="24"/>
      <c r="K59" s="24"/>
      <c r="W59" s="585"/>
      <c r="X59" s="584"/>
    </row>
    <row r="60" spans="1:24" s="2" customFormat="1" ht="14.25">
      <c r="A60" s="18"/>
      <c r="B60" s="18"/>
      <c r="C60" s="7"/>
      <c r="D60" s="18"/>
      <c r="F60" s="94"/>
      <c r="J60" s="24"/>
      <c r="K60" s="24"/>
      <c r="W60" s="585"/>
      <c r="X60" s="584"/>
    </row>
    <row r="61" spans="1:24" s="2" customFormat="1" ht="14.25">
      <c r="A61" s="18"/>
      <c r="B61" s="18"/>
      <c r="C61" s="7"/>
      <c r="D61" s="18"/>
      <c r="F61" s="94"/>
      <c r="J61" s="24"/>
      <c r="K61" s="24"/>
      <c r="W61" s="585"/>
      <c r="X61" s="584"/>
    </row>
    <row r="62" spans="1:24" s="2" customFormat="1" ht="14.25">
      <c r="A62" s="18"/>
      <c r="B62" s="18"/>
      <c r="C62" s="7"/>
      <c r="D62" s="18"/>
      <c r="F62" s="94"/>
      <c r="J62" s="24"/>
      <c r="K62" s="24"/>
      <c r="W62" s="585"/>
      <c r="X62" s="584"/>
    </row>
    <row r="63" spans="1:24" s="2" customFormat="1" ht="14.25">
      <c r="A63" s="18"/>
      <c r="B63" s="18"/>
      <c r="C63" s="7"/>
      <c r="D63" s="18"/>
      <c r="F63" s="94"/>
      <c r="J63" s="24"/>
      <c r="K63" s="24"/>
      <c r="W63" s="585"/>
      <c r="X63" s="584"/>
    </row>
    <row r="64" spans="1:24" s="2" customFormat="1" ht="14.25">
      <c r="A64" s="18"/>
      <c r="B64" s="18"/>
      <c r="C64" s="7"/>
      <c r="D64" s="18"/>
      <c r="F64" s="94"/>
      <c r="J64" s="24"/>
      <c r="K64" s="24"/>
      <c r="W64" s="585"/>
      <c r="X64" s="584"/>
    </row>
    <row r="65" spans="1:24" s="2" customFormat="1" ht="14.25">
      <c r="A65" s="18"/>
      <c r="B65" s="18"/>
      <c r="C65" s="7"/>
      <c r="D65" s="18"/>
      <c r="F65" s="94"/>
      <c r="J65" s="24"/>
      <c r="K65" s="24"/>
      <c r="W65" s="585"/>
      <c r="X65" s="584"/>
    </row>
    <row r="66" spans="1:24" s="2" customFormat="1" ht="14.25">
      <c r="A66" s="18"/>
      <c r="B66" s="18"/>
      <c r="C66" s="7"/>
      <c r="D66" s="18"/>
      <c r="F66" s="94"/>
      <c r="J66" s="24"/>
      <c r="K66" s="24"/>
      <c r="W66" s="585"/>
      <c r="X66" s="584"/>
    </row>
    <row r="67" spans="1:24" s="2" customFormat="1" ht="14.25">
      <c r="A67" s="18"/>
      <c r="B67" s="18"/>
      <c r="C67" s="7"/>
      <c r="D67" s="18"/>
      <c r="F67" s="94"/>
      <c r="J67" s="24"/>
      <c r="K67" s="24"/>
      <c r="W67" s="585"/>
      <c r="X67" s="584"/>
    </row>
    <row r="68" spans="1:24" s="2" customFormat="1" ht="14.25">
      <c r="A68" s="18"/>
      <c r="B68" s="18"/>
      <c r="C68" s="7"/>
      <c r="D68" s="18"/>
      <c r="F68" s="94"/>
      <c r="J68" s="24"/>
      <c r="K68" s="24"/>
      <c r="W68" s="585"/>
      <c r="X68" s="584"/>
    </row>
    <row r="69" spans="1:24" s="2" customFormat="1" ht="14.25">
      <c r="A69" s="18"/>
      <c r="B69" s="18"/>
      <c r="C69" s="7"/>
      <c r="D69" s="18"/>
      <c r="F69" s="94"/>
      <c r="J69" s="24"/>
      <c r="K69" s="24"/>
      <c r="W69" s="585"/>
      <c r="X69" s="584"/>
    </row>
    <row r="70" spans="1:24" s="2" customFormat="1" ht="14.25">
      <c r="A70" s="18"/>
      <c r="B70" s="18"/>
      <c r="C70" s="7"/>
      <c r="D70" s="18"/>
      <c r="F70" s="94"/>
      <c r="J70" s="24"/>
      <c r="K70" s="24"/>
      <c r="W70" s="585"/>
      <c r="X70" s="584"/>
    </row>
    <row r="71" spans="1:24" s="2" customFormat="1" ht="14.25">
      <c r="A71" s="18"/>
      <c r="B71" s="18"/>
      <c r="C71" s="7"/>
      <c r="D71" s="18"/>
      <c r="F71" s="94"/>
      <c r="J71" s="24"/>
      <c r="K71" s="24"/>
      <c r="W71" s="585"/>
      <c r="X71" s="584"/>
    </row>
    <row r="72" spans="1:24" s="2" customFormat="1" ht="14.25">
      <c r="A72" s="18"/>
      <c r="B72" s="18"/>
      <c r="C72" s="7"/>
      <c r="D72" s="18"/>
      <c r="F72" s="94"/>
      <c r="J72" s="24"/>
      <c r="K72" s="24"/>
      <c r="W72" s="585"/>
      <c r="X72" s="584"/>
    </row>
    <row r="73" spans="1:24" s="2" customFormat="1" ht="14.25">
      <c r="A73" s="18"/>
      <c r="B73" s="18"/>
      <c r="C73" s="7"/>
      <c r="D73" s="18"/>
      <c r="F73" s="94"/>
      <c r="J73" s="24"/>
      <c r="K73" s="24"/>
      <c r="W73" s="585"/>
      <c r="X73" s="584"/>
    </row>
    <row r="74" spans="1:24" s="2" customFormat="1" ht="14.25">
      <c r="A74" s="18"/>
      <c r="B74" s="18"/>
      <c r="C74" s="7"/>
      <c r="D74" s="18"/>
      <c r="F74" s="94"/>
      <c r="J74" s="24"/>
      <c r="K74" s="24"/>
      <c r="W74" s="585"/>
      <c r="X74" s="584"/>
    </row>
    <row r="75" spans="1:24" s="2" customFormat="1" ht="14.25">
      <c r="A75" s="18"/>
      <c r="B75" s="18"/>
      <c r="C75" s="7"/>
      <c r="D75" s="18"/>
      <c r="F75" s="94"/>
      <c r="J75" s="24"/>
      <c r="K75" s="24"/>
      <c r="W75" s="585"/>
      <c r="X75" s="584"/>
    </row>
    <row r="76" spans="1:24" s="2" customFormat="1" ht="14.25">
      <c r="A76" s="18"/>
      <c r="B76" s="18"/>
      <c r="C76" s="7"/>
      <c r="D76" s="18"/>
      <c r="F76" s="94"/>
      <c r="J76" s="24"/>
      <c r="K76" s="24"/>
      <c r="W76" s="585"/>
      <c r="X76" s="584"/>
    </row>
    <row r="77" spans="1:24" s="2" customFormat="1" ht="14.25">
      <c r="A77" s="18"/>
      <c r="B77" s="18"/>
      <c r="C77" s="7"/>
      <c r="D77" s="18"/>
      <c r="F77" s="94"/>
      <c r="J77" s="24"/>
      <c r="K77" s="24"/>
      <c r="W77" s="585"/>
      <c r="X77" s="584"/>
    </row>
    <row r="78" spans="1:24" s="2" customFormat="1" ht="14.25">
      <c r="A78" s="18"/>
      <c r="B78" s="18"/>
      <c r="C78" s="7"/>
      <c r="D78" s="18"/>
      <c r="F78" s="94"/>
      <c r="J78" s="24"/>
      <c r="K78" s="24"/>
      <c r="W78" s="585"/>
      <c r="X78" s="584"/>
    </row>
    <row r="79" spans="1:24" s="2" customFormat="1" ht="14.25">
      <c r="A79" s="18"/>
      <c r="B79" s="18"/>
      <c r="C79" s="7"/>
      <c r="D79" s="18"/>
      <c r="F79" s="94"/>
      <c r="J79" s="24"/>
      <c r="K79" s="24"/>
      <c r="W79" s="585"/>
      <c r="X79" s="584"/>
    </row>
    <row r="80" spans="1:24" s="2" customFormat="1" ht="14.25">
      <c r="A80" s="18"/>
      <c r="B80" s="18"/>
      <c r="C80" s="7"/>
      <c r="D80" s="18"/>
      <c r="F80" s="94"/>
      <c r="J80" s="24"/>
      <c r="K80" s="24"/>
      <c r="W80" s="585"/>
      <c r="X80" s="584"/>
    </row>
    <row r="81" spans="1:24" s="2" customFormat="1" ht="14.25">
      <c r="A81" s="18"/>
      <c r="B81" s="18"/>
      <c r="C81" s="7"/>
      <c r="D81" s="18"/>
      <c r="F81" s="94"/>
      <c r="J81" s="24"/>
      <c r="K81" s="24"/>
      <c r="W81" s="585"/>
      <c r="X81" s="584"/>
    </row>
    <row r="82" spans="1:24" s="2" customFormat="1" ht="14.25">
      <c r="A82" s="18"/>
      <c r="B82" s="18"/>
      <c r="C82" s="7"/>
      <c r="D82" s="18"/>
      <c r="F82" s="94"/>
      <c r="J82" s="24"/>
      <c r="K82" s="24"/>
      <c r="W82" s="585"/>
      <c r="X82" s="584"/>
    </row>
    <row r="83" spans="1:24" s="2" customFormat="1" ht="14.25">
      <c r="A83" s="18"/>
      <c r="B83" s="18"/>
      <c r="C83" s="7"/>
      <c r="D83" s="18"/>
      <c r="F83" s="94"/>
      <c r="J83" s="24"/>
      <c r="K83" s="24"/>
      <c r="W83" s="585"/>
      <c r="X83" s="584"/>
    </row>
    <row r="84" spans="1:24" s="2" customFormat="1" ht="14.25">
      <c r="A84" s="18"/>
      <c r="B84" s="18"/>
      <c r="C84" s="7"/>
      <c r="D84" s="18"/>
      <c r="F84" s="94"/>
      <c r="J84" s="24"/>
      <c r="K84" s="24"/>
      <c r="W84" s="585"/>
      <c r="X84" s="584"/>
    </row>
    <row r="85" spans="1:24" s="2" customFormat="1" ht="14.25">
      <c r="A85" s="18"/>
      <c r="B85" s="18"/>
      <c r="C85" s="7"/>
      <c r="D85" s="18"/>
      <c r="F85" s="94"/>
      <c r="J85" s="24"/>
      <c r="K85" s="24"/>
      <c r="W85" s="585"/>
      <c r="X85" s="584"/>
    </row>
    <row r="86" spans="1:24" s="2" customFormat="1" ht="14.25">
      <c r="A86" s="18"/>
      <c r="B86" s="18"/>
      <c r="C86" s="7"/>
      <c r="D86" s="18"/>
      <c r="F86" s="94"/>
      <c r="J86" s="24"/>
      <c r="K86" s="24"/>
      <c r="W86" s="585"/>
      <c r="X86" s="584"/>
    </row>
    <row r="87" spans="1:24" s="2" customFormat="1" ht="14.25">
      <c r="A87" s="18"/>
      <c r="B87" s="18"/>
      <c r="C87" s="7"/>
      <c r="D87" s="18"/>
      <c r="F87" s="94"/>
      <c r="J87" s="24"/>
      <c r="K87" s="24"/>
      <c r="W87" s="585"/>
      <c r="X87" s="584"/>
    </row>
    <row r="88" spans="1:24" s="2" customFormat="1" ht="14.25">
      <c r="A88" s="18"/>
      <c r="B88" s="18"/>
      <c r="C88" s="7"/>
      <c r="D88" s="18"/>
      <c r="F88" s="94"/>
      <c r="J88" s="24"/>
      <c r="K88" s="24"/>
      <c r="W88" s="585"/>
      <c r="X88" s="584"/>
    </row>
    <row r="89" spans="1:24" s="2" customFormat="1" ht="14.25">
      <c r="A89" s="18"/>
      <c r="B89" s="18"/>
      <c r="C89" s="7"/>
      <c r="D89" s="18"/>
      <c r="F89" s="94"/>
      <c r="J89" s="24"/>
      <c r="K89" s="24"/>
      <c r="W89" s="585"/>
      <c r="X89" s="584"/>
    </row>
    <row r="90" spans="1:24" s="2" customFormat="1" ht="14.25">
      <c r="A90" s="18"/>
      <c r="B90" s="18"/>
      <c r="C90" s="7"/>
      <c r="D90" s="18"/>
      <c r="F90" s="94"/>
      <c r="J90" s="24"/>
      <c r="K90" s="24"/>
      <c r="W90" s="585"/>
      <c r="X90" s="584"/>
    </row>
    <row r="91" spans="1:24" s="2" customFormat="1" ht="14.25">
      <c r="A91" s="18"/>
      <c r="B91" s="18"/>
      <c r="C91" s="7"/>
      <c r="D91" s="18"/>
      <c r="F91" s="94"/>
      <c r="J91" s="24"/>
      <c r="K91" s="24"/>
      <c r="W91" s="585"/>
      <c r="X91" s="584"/>
    </row>
    <row r="92" spans="1:24" s="2" customFormat="1" ht="14.25">
      <c r="A92" s="18"/>
      <c r="B92" s="18"/>
      <c r="C92" s="7"/>
      <c r="D92" s="18"/>
      <c r="F92" s="94"/>
      <c r="J92" s="24"/>
      <c r="K92" s="24"/>
      <c r="W92" s="585"/>
      <c r="X92" s="584"/>
    </row>
    <row r="93" spans="1:24" s="2" customFormat="1" ht="14.25">
      <c r="A93" s="18"/>
      <c r="B93" s="18"/>
      <c r="C93" s="7"/>
      <c r="D93" s="18"/>
      <c r="F93" s="94"/>
      <c r="J93" s="24"/>
      <c r="K93" s="24"/>
      <c r="W93" s="585"/>
      <c r="X93" s="584"/>
    </row>
    <row r="94" spans="1:24" s="2" customFormat="1" ht="14.25">
      <c r="A94" s="18"/>
      <c r="B94" s="18"/>
      <c r="C94" s="7"/>
      <c r="D94" s="18"/>
      <c r="F94" s="94"/>
      <c r="J94" s="24"/>
      <c r="K94" s="24"/>
      <c r="W94" s="585"/>
      <c r="X94" s="584"/>
    </row>
    <row r="95" spans="1:24" s="2" customFormat="1" ht="14.25">
      <c r="A95" s="18"/>
      <c r="B95" s="18"/>
      <c r="C95" s="7"/>
      <c r="D95" s="18"/>
      <c r="F95" s="94"/>
      <c r="J95" s="24"/>
      <c r="K95" s="24"/>
      <c r="W95" s="585"/>
      <c r="X95" s="584"/>
    </row>
    <row r="96" spans="1:24" s="2" customFormat="1" ht="14.25">
      <c r="A96" s="18"/>
      <c r="B96" s="18"/>
      <c r="C96" s="7"/>
      <c r="D96" s="18"/>
      <c r="F96" s="94"/>
      <c r="J96" s="24"/>
      <c r="K96" s="24"/>
      <c r="W96" s="585"/>
      <c r="X96" s="584"/>
    </row>
    <row r="97" spans="1:24" s="2" customFormat="1" ht="14.25">
      <c r="A97" s="18"/>
      <c r="B97" s="18"/>
      <c r="C97" s="7"/>
      <c r="D97" s="18"/>
      <c r="F97" s="94"/>
      <c r="J97" s="24"/>
      <c r="K97" s="24"/>
      <c r="W97" s="585"/>
      <c r="X97" s="584"/>
    </row>
    <row r="98" spans="1:24" s="2" customFormat="1" ht="14.25">
      <c r="A98" s="18"/>
      <c r="B98" s="18"/>
      <c r="C98" s="7"/>
      <c r="D98" s="18"/>
      <c r="F98" s="94"/>
      <c r="J98" s="24"/>
      <c r="K98" s="24"/>
      <c r="W98" s="585"/>
      <c r="X98" s="584"/>
    </row>
    <row r="99" spans="1:24" s="2" customFormat="1" ht="14.25">
      <c r="A99" s="18"/>
      <c r="B99" s="18"/>
      <c r="C99" s="7"/>
      <c r="D99" s="18"/>
      <c r="F99" s="94"/>
      <c r="J99" s="24"/>
      <c r="K99" s="24"/>
      <c r="W99" s="585"/>
      <c r="X99" s="584"/>
    </row>
    <row r="100" spans="1:24" s="2" customFormat="1" ht="14.25">
      <c r="A100" s="18"/>
      <c r="B100" s="18"/>
      <c r="C100" s="7"/>
      <c r="D100" s="18"/>
      <c r="F100" s="94"/>
      <c r="J100" s="24"/>
      <c r="K100" s="24"/>
      <c r="W100" s="585"/>
      <c r="X100" s="584"/>
    </row>
    <row r="101" spans="1:24" s="2" customFormat="1" ht="14.25">
      <c r="A101" s="18"/>
      <c r="B101" s="18"/>
      <c r="C101" s="7"/>
      <c r="D101" s="18"/>
      <c r="F101" s="94"/>
      <c r="J101" s="24"/>
      <c r="K101" s="24"/>
      <c r="W101" s="585"/>
      <c r="X101" s="584"/>
    </row>
    <row r="102" spans="1:24" s="2" customFormat="1" ht="14.25">
      <c r="A102" s="18"/>
      <c r="B102" s="18"/>
      <c r="C102" s="7"/>
      <c r="D102" s="18"/>
      <c r="F102" s="94"/>
      <c r="J102" s="24"/>
      <c r="K102" s="24"/>
      <c r="W102" s="585"/>
      <c r="X102" s="584"/>
    </row>
    <row r="103" spans="1:24" s="2" customFormat="1" ht="14.25">
      <c r="A103" s="18"/>
      <c r="B103" s="18"/>
      <c r="C103" s="7"/>
      <c r="D103" s="18"/>
      <c r="F103" s="94"/>
      <c r="J103" s="24"/>
      <c r="K103" s="24"/>
      <c r="W103" s="585"/>
      <c r="X103" s="584"/>
    </row>
    <row r="104" spans="1:24" s="2" customFormat="1" ht="14.25">
      <c r="A104" s="18"/>
      <c r="B104" s="18"/>
      <c r="C104" s="7"/>
      <c r="D104" s="18"/>
      <c r="F104" s="94"/>
      <c r="J104" s="24"/>
      <c r="K104" s="24"/>
      <c r="W104" s="585"/>
      <c r="X104" s="584"/>
    </row>
    <row r="105" spans="1:24" s="2" customFormat="1" ht="14.25">
      <c r="A105" s="18"/>
      <c r="B105" s="18"/>
      <c r="C105" s="7"/>
      <c r="D105" s="18"/>
      <c r="F105" s="94"/>
      <c r="J105" s="24"/>
      <c r="K105" s="24"/>
      <c r="W105" s="585"/>
      <c r="X105" s="584"/>
    </row>
    <row r="106" spans="1:24" s="2" customFormat="1" ht="14.25">
      <c r="A106" s="18"/>
      <c r="B106" s="18"/>
      <c r="C106" s="7"/>
      <c r="D106" s="18"/>
      <c r="F106" s="94"/>
      <c r="J106" s="24"/>
      <c r="K106" s="24"/>
      <c r="W106" s="585"/>
      <c r="X106" s="584"/>
    </row>
    <row r="107" spans="1:24" s="2" customFormat="1" ht="14.25">
      <c r="A107" s="18"/>
      <c r="B107" s="18"/>
      <c r="C107" s="7"/>
      <c r="D107" s="18"/>
      <c r="F107" s="94"/>
      <c r="J107" s="24"/>
      <c r="K107" s="24"/>
      <c r="W107" s="585"/>
      <c r="X107" s="584"/>
    </row>
    <row r="108" spans="1:24" s="2" customFormat="1" ht="14.25">
      <c r="A108" s="18"/>
      <c r="B108" s="18"/>
      <c r="C108" s="7"/>
      <c r="D108" s="18"/>
      <c r="F108" s="94"/>
      <c r="J108" s="24"/>
      <c r="K108" s="24"/>
      <c r="W108" s="585"/>
      <c r="X108" s="584"/>
    </row>
    <row r="109" spans="1:24" s="2" customFormat="1" ht="14.25">
      <c r="A109" s="18"/>
      <c r="B109" s="18"/>
      <c r="C109" s="7"/>
      <c r="D109" s="18"/>
      <c r="F109" s="94"/>
      <c r="J109" s="24"/>
      <c r="K109" s="24"/>
      <c r="W109" s="585"/>
      <c r="X109" s="584"/>
    </row>
    <row r="110" spans="1:24" s="2" customFormat="1" ht="14.25">
      <c r="A110" s="18"/>
      <c r="B110" s="18"/>
      <c r="C110" s="7"/>
      <c r="D110" s="18"/>
      <c r="F110" s="94"/>
      <c r="J110" s="24"/>
      <c r="K110" s="24"/>
      <c r="W110" s="585"/>
      <c r="X110" s="584"/>
    </row>
    <row r="111" spans="1:24" s="2" customFormat="1" ht="14.25">
      <c r="A111" s="18"/>
      <c r="B111" s="18"/>
      <c r="C111" s="7"/>
      <c r="D111" s="18"/>
      <c r="F111" s="94"/>
      <c r="J111" s="24"/>
      <c r="K111" s="24"/>
      <c r="W111" s="585"/>
      <c r="X111" s="584"/>
    </row>
    <row r="112" spans="1:24" s="2" customFormat="1" ht="14.25">
      <c r="A112" s="18"/>
      <c r="B112" s="18"/>
      <c r="C112" s="7"/>
      <c r="D112" s="18"/>
      <c r="F112" s="94"/>
      <c r="J112" s="24"/>
      <c r="K112" s="24"/>
      <c r="W112" s="585"/>
      <c r="X112" s="584"/>
    </row>
    <row r="113" spans="1:24" s="2" customFormat="1" ht="14.25">
      <c r="A113" s="18"/>
      <c r="B113" s="18"/>
      <c r="C113" s="7"/>
      <c r="D113" s="18"/>
      <c r="F113" s="94"/>
      <c r="J113" s="24"/>
      <c r="K113" s="24"/>
      <c r="W113" s="585"/>
      <c r="X113" s="584"/>
    </row>
    <row r="114" spans="1:24" s="2" customFormat="1" ht="14.25">
      <c r="A114" s="18"/>
      <c r="B114" s="18"/>
      <c r="C114" s="7"/>
      <c r="D114" s="18"/>
      <c r="F114" s="94"/>
      <c r="J114" s="24"/>
      <c r="K114" s="24"/>
      <c r="W114" s="585"/>
      <c r="X114" s="584"/>
    </row>
    <row r="115" spans="1:24" s="2" customFormat="1" ht="14.25">
      <c r="A115" s="18"/>
      <c r="B115" s="18"/>
      <c r="C115" s="7"/>
      <c r="D115" s="18"/>
      <c r="F115" s="94"/>
      <c r="J115" s="24"/>
      <c r="K115" s="24"/>
      <c r="W115" s="585"/>
      <c r="X115" s="584"/>
    </row>
    <row r="116" spans="1:24" s="2" customFormat="1" ht="14.25">
      <c r="A116" s="18"/>
      <c r="B116" s="18"/>
      <c r="C116" s="7"/>
      <c r="D116" s="18"/>
      <c r="F116" s="94"/>
      <c r="J116" s="24"/>
      <c r="K116" s="24"/>
      <c r="W116" s="585"/>
      <c r="X116" s="584"/>
    </row>
    <row r="117" spans="1:24" s="2" customFormat="1" ht="14.25">
      <c r="A117" s="18"/>
      <c r="B117" s="18"/>
      <c r="C117" s="7"/>
      <c r="D117" s="18"/>
      <c r="F117" s="94"/>
      <c r="J117" s="24"/>
      <c r="K117" s="24"/>
      <c r="W117" s="585"/>
      <c r="X117" s="584"/>
    </row>
    <row r="118" spans="1:24" s="2" customFormat="1" ht="14.25">
      <c r="A118" s="18"/>
      <c r="B118" s="18"/>
      <c r="C118" s="7"/>
      <c r="D118" s="18"/>
      <c r="F118" s="94"/>
      <c r="J118" s="24"/>
      <c r="K118" s="24"/>
      <c r="W118" s="585"/>
      <c r="X118" s="584"/>
    </row>
    <row r="119" spans="1:24" s="2" customFormat="1" ht="14.25">
      <c r="A119" s="18"/>
      <c r="B119" s="18"/>
      <c r="C119" s="7"/>
      <c r="D119" s="18"/>
      <c r="F119" s="94"/>
      <c r="J119" s="24"/>
      <c r="K119" s="24"/>
      <c r="W119" s="585"/>
      <c r="X119" s="584"/>
    </row>
    <row r="120" spans="1:24" s="2" customFormat="1" ht="14.25">
      <c r="A120" s="18"/>
      <c r="B120" s="18"/>
      <c r="C120" s="7"/>
      <c r="D120" s="18"/>
      <c r="F120" s="94"/>
      <c r="J120" s="24"/>
      <c r="K120" s="24"/>
      <c r="W120" s="585"/>
      <c r="X120" s="584"/>
    </row>
    <row r="121" spans="1:24" s="2" customFormat="1" ht="14.25">
      <c r="A121" s="18"/>
      <c r="B121" s="18"/>
      <c r="C121" s="7"/>
      <c r="D121" s="18"/>
      <c r="F121" s="94"/>
      <c r="J121" s="24"/>
      <c r="K121" s="24"/>
      <c r="W121" s="585"/>
      <c r="X121" s="584"/>
    </row>
    <row r="122" spans="1:24" s="2" customFormat="1" ht="14.25">
      <c r="A122" s="18"/>
      <c r="B122" s="18"/>
      <c r="C122" s="7"/>
      <c r="D122" s="18"/>
      <c r="F122" s="94"/>
      <c r="J122" s="24"/>
      <c r="K122" s="24"/>
      <c r="W122" s="585"/>
      <c r="X122" s="584"/>
    </row>
    <row r="123" spans="1:24" s="2" customFormat="1" ht="14.25">
      <c r="A123" s="18"/>
      <c r="B123" s="18"/>
      <c r="C123" s="7"/>
      <c r="D123" s="18"/>
      <c r="F123" s="94"/>
      <c r="J123" s="24"/>
      <c r="K123" s="24"/>
      <c r="W123" s="585"/>
      <c r="X123" s="584"/>
    </row>
    <row r="124" spans="1:24" s="2" customFormat="1" ht="14.25">
      <c r="A124" s="18"/>
      <c r="B124" s="18"/>
      <c r="C124" s="7"/>
      <c r="D124" s="18"/>
      <c r="F124" s="94"/>
      <c r="J124" s="24"/>
      <c r="K124" s="24"/>
      <c r="W124" s="585"/>
      <c r="X124" s="584"/>
    </row>
    <row r="125" spans="1:24" s="2" customFormat="1" ht="14.25">
      <c r="A125" s="18"/>
      <c r="B125" s="18"/>
      <c r="C125" s="7"/>
      <c r="D125" s="18"/>
      <c r="F125" s="94"/>
      <c r="J125" s="24"/>
      <c r="K125" s="24"/>
      <c r="W125" s="585"/>
      <c r="X125" s="584"/>
    </row>
    <row r="126" spans="1:24" s="2" customFormat="1" ht="14.25">
      <c r="A126" s="18"/>
      <c r="B126" s="18"/>
      <c r="C126" s="7"/>
      <c r="D126" s="18"/>
      <c r="F126" s="94"/>
      <c r="J126" s="24"/>
      <c r="K126" s="24"/>
      <c r="W126" s="585"/>
      <c r="X126" s="584"/>
    </row>
    <row r="127" spans="1:24" s="2" customFormat="1" ht="14.25">
      <c r="A127" s="18"/>
      <c r="B127" s="18"/>
      <c r="C127" s="7"/>
      <c r="D127" s="18"/>
      <c r="F127" s="94"/>
      <c r="J127" s="24"/>
      <c r="K127" s="24"/>
      <c r="W127" s="585"/>
      <c r="X127" s="584"/>
    </row>
    <row r="128" spans="1:24" s="2" customFormat="1" ht="14.25">
      <c r="A128" s="18"/>
      <c r="B128" s="18"/>
      <c r="C128" s="7"/>
      <c r="D128" s="18"/>
      <c r="F128" s="94"/>
      <c r="J128" s="24"/>
      <c r="K128" s="24"/>
      <c r="W128" s="585"/>
      <c r="X128" s="584"/>
    </row>
    <row r="129" spans="1:24" s="2" customFormat="1" ht="14.25">
      <c r="A129" s="18"/>
      <c r="B129" s="18"/>
      <c r="C129" s="7"/>
      <c r="D129" s="18"/>
      <c r="F129" s="94"/>
      <c r="J129" s="24"/>
      <c r="K129" s="24"/>
      <c r="W129" s="585"/>
      <c r="X129" s="584"/>
    </row>
    <row r="130" spans="1:24" s="2" customFormat="1" ht="14.25">
      <c r="A130" s="18"/>
      <c r="B130" s="18"/>
      <c r="C130" s="7"/>
      <c r="D130" s="18"/>
      <c r="F130" s="94"/>
      <c r="J130" s="24"/>
      <c r="K130" s="24"/>
      <c r="W130" s="585"/>
      <c r="X130" s="584"/>
    </row>
    <row r="131" spans="1:24" s="2" customFormat="1" ht="14.25">
      <c r="A131" s="18"/>
      <c r="B131" s="18"/>
      <c r="C131" s="7"/>
      <c r="D131" s="18"/>
      <c r="F131" s="94"/>
      <c r="J131" s="24"/>
      <c r="K131" s="24"/>
      <c r="W131" s="585"/>
      <c r="X131" s="584"/>
    </row>
    <row r="132" spans="1:24" s="2" customFormat="1" ht="14.25">
      <c r="A132" s="18"/>
      <c r="B132" s="18"/>
      <c r="C132" s="7"/>
      <c r="D132" s="18"/>
      <c r="F132" s="94"/>
      <c r="J132" s="24"/>
      <c r="K132" s="24"/>
      <c r="W132" s="585"/>
      <c r="X132" s="584"/>
    </row>
    <row r="133" spans="1:24" s="2" customFormat="1" ht="14.25">
      <c r="A133" s="18"/>
      <c r="B133" s="18"/>
      <c r="C133" s="7"/>
      <c r="D133" s="18"/>
      <c r="F133" s="94"/>
      <c r="J133" s="24"/>
      <c r="K133" s="24"/>
      <c r="W133" s="585"/>
      <c r="X133" s="584"/>
    </row>
    <row r="134" spans="1:24" s="2" customFormat="1" ht="14.25">
      <c r="A134" s="18"/>
      <c r="B134" s="18"/>
      <c r="C134" s="7"/>
      <c r="D134" s="18"/>
      <c r="F134" s="94"/>
      <c r="J134" s="24"/>
      <c r="K134" s="24"/>
      <c r="W134" s="585"/>
      <c r="X134" s="584"/>
    </row>
    <row r="135" spans="1:24" s="2" customFormat="1" ht="14.25">
      <c r="A135" s="18"/>
      <c r="B135" s="18"/>
      <c r="C135" s="7"/>
      <c r="D135" s="18"/>
      <c r="F135" s="94"/>
      <c r="J135" s="24"/>
      <c r="K135" s="24"/>
      <c r="W135" s="585"/>
      <c r="X135" s="584"/>
    </row>
    <row r="136" spans="1:24" s="2" customFormat="1" ht="14.25">
      <c r="A136" s="18"/>
      <c r="B136" s="18"/>
      <c r="C136" s="7"/>
      <c r="D136" s="18"/>
      <c r="F136" s="94"/>
      <c r="J136" s="24"/>
      <c r="K136" s="24"/>
      <c r="W136" s="585"/>
      <c r="X136" s="584"/>
    </row>
    <row r="137" spans="1:24" s="2" customFormat="1" ht="14.25">
      <c r="A137" s="18"/>
      <c r="B137" s="18"/>
      <c r="C137" s="7"/>
      <c r="D137" s="18"/>
      <c r="F137" s="94"/>
      <c r="J137" s="24"/>
      <c r="K137" s="24"/>
      <c r="W137" s="585"/>
      <c r="X137" s="584"/>
    </row>
    <row r="138" spans="1:24" s="2" customFormat="1" ht="14.25">
      <c r="A138" s="18"/>
      <c r="B138" s="18"/>
      <c r="C138" s="7"/>
      <c r="D138" s="18"/>
      <c r="F138" s="94"/>
      <c r="J138" s="24"/>
      <c r="K138" s="24"/>
      <c r="W138" s="585"/>
      <c r="X138" s="584"/>
    </row>
    <row r="139" spans="1:24" s="2" customFormat="1" ht="14.25">
      <c r="A139" s="18"/>
      <c r="B139" s="18"/>
      <c r="C139" s="7"/>
      <c r="D139" s="18"/>
      <c r="F139" s="94"/>
      <c r="J139" s="24"/>
      <c r="K139" s="24"/>
      <c r="W139" s="585"/>
      <c r="X139" s="584"/>
    </row>
    <row r="140" spans="1:24" s="2" customFormat="1" ht="14.25">
      <c r="A140" s="18"/>
      <c r="B140" s="18"/>
      <c r="C140" s="7"/>
      <c r="D140" s="18"/>
      <c r="F140" s="94"/>
      <c r="J140" s="24"/>
      <c r="K140" s="24"/>
      <c r="W140" s="585"/>
      <c r="X140" s="584"/>
    </row>
    <row r="141" spans="1:24" s="2" customFormat="1" ht="14.25">
      <c r="A141" s="18"/>
      <c r="B141" s="18"/>
      <c r="C141" s="7"/>
      <c r="D141" s="18"/>
      <c r="F141" s="94"/>
      <c r="J141" s="24"/>
      <c r="K141" s="24"/>
      <c r="W141" s="585"/>
      <c r="X141" s="584"/>
    </row>
    <row r="142" spans="1:24" s="2" customFormat="1" ht="14.25">
      <c r="A142" s="18"/>
      <c r="B142" s="18"/>
      <c r="C142" s="7"/>
      <c r="D142" s="18"/>
      <c r="F142" s="94"/>
      <c r="J142" s="24"/>
      <c r="K142" s="24"/>
      <c r="W142" s="585"/>
      <c r="X142" s="584"/>
    </row>
    <row r="143" spans="1:24" s="2" customFormat="1" ht="14.25">
      <c r="A143" s="18"/>
      <c r="B143" s="18"/>
      <c r="C143" s="7"/>
      <c r="D143" s="18"/>
      <c r="F143" s="94"/>
      <c r="J143" s="24"/>
      <c r="K143" s="24"/>
      <c r="W143" s="585"/>
      <c r="X143" s="584"/>
    </row>
    <row r="144" spans="1:24" s="2" customFormat="1" ht="14.25">
      <c r="A144" s="18"/>
      <c r="B144" s="18"/>
      <c r="C144" s="7"/>
      <c r="D144" s="18"/>
      <c r="F144" s="94"/>
      <c r="J144" s="24"/>
      <c r="K144" s="24"/>
      <c r="W144" s="585"/>
      <c r="X144" s="584"/>
    </row>
    <row r="145" spans="1:24" s="2" customFormat="1" ht="14.25">
      <c r="A145" s="18"/>
      <c r="B145" s="18"/>
      <c r="C145" s="7"/>
      <c r="D145" s="18"/>
      <c r="F145" s="94"/>
      <c r="J145" s="24"/>
      <c r="K145" s="24"/>
      <c r="W145" s="585"/>
      <c r="X145" s="584"/>
    </row>
    <row r="146" spans="1:24" s="2" customFormat="1" ht="14.25">
      <c r="A146" s="18"/>
      <c r="B146" s="18"/>
      <c r="C146" s="7"/>
      <c r="D146" s="18"/>
      <c r="F146" s="94"/>
      <c r="J146" s="24"/>
      <c r="K146" s="24"/>
      <c r="W146" s="585"/>
      <c r="X146" s="584"/>
    </row>
    <row r="147" spans="1:24" s="2" customFormat="1" ht="14.25">
      <c r="A147" s="18"/>
      <c r="B147" s="18"/>
      <c r="C147" s="7"/>
      <c r="D147" s="18"/>
      <c r="F147" s="94"/>
      <c r="J147" s="24"/>
      <c r="K147" s="24"/>
      <c r="W147" s="585"/>
      <c r="X147" s="584"/>
    </row>
    <row r="148" spans="1:24" s="2" customFormat="1" ht="14.25">
      <c r="A148" s="18"/>
      <c r="B148" s="18"/>
      <c r="C148" s="7"/>
      <c r="D148" s="18"/>
      <c r="F148" s="94"/>
      <c r="J148" s="24"/>
      <c r="K148" s="24"/>
      <c r="W148" s="585"/>
      <c r="X148" s="584"/>
    </row>
    <row r="149" spans="1:24" s="2" customFormat="1" ht="14.25">
      <c r="A149" s="18"/>
      <c r="B149" s="18"/>
      <c r="C149" s="7"/>
      <c r="D149" s="18"/>
      <c r="F149" s="94"/>
      <c r="J149" s="24"/>
      <c r="K149" s="24"/>
      <c r="W149" s="585"/>
      <c r="X149" s="584"/>
    </row>
    <row r="150" spans="1:24" s="2" customFormat="1" ht="14.25">
      <c r="A150" s="18"/>
      <c r="B150" s="18"/>
      <c r="C150" s="7"/>
      <c r="D150" s="18"/>
      <c r="F150" s="94"/>
      <c r="J150" s="24"/>
      <c r="K150" s="24"/>
      <c r="W150" s="585"/>
      <c r="X150" s="584"/>
    </row>
    <row r="151" spans="1:24" s="2" customFormat="1" ht="14.25">
      <c r="A151" s="18"/>
      <c r="B151" s="18"/>
      <c r="C151" s="7"/>
      <c r="D151" s="18"/>
      <c r="F151" s="94"/>
      <c r="J151" s="24"/>
      <c r="K151" s="24"/>
      <c r="W151" s="585"/>
      <c r="X151" s="584"/>
    </row>
    <row r="152" spans="1:24" s="2" customFormat="1" ht="14.25">
      <c r="A152" s="18"/>
      <c r="B152" s="18"/>
      <c r="C152" s="7"/>
      <c r="D152" s="18"/>
      <c r="F152" s="94"/>
      <c r="J152" s="24"/>
      <c r="K152" s="24"/>
      <c r="W152" s="585"/>
      <c r="X152" s="584"/>
    </row>
    <row r="153" spans="1:24" s="2" customFormat="1" ht="14.25">
      <c r="A153" s="18"/>
      <c r="B153" s="18"/>
      <c r="C153" s="7"/>
      <c r="D153" s="18"/>
      <c r="F153" s="94"/>
      <c r="J153" s="24"/>
      <c r="K153" s="24"/>
      <c r="W153" s="585"/>
      <c r="X153" s="584"/>
    </row>
    <row r="154" spans="1:24" s="2" customFormat="1" ht="14.25">
      <c r="A154" s="18"/>
      <c r="B154" s="18"/>
      <c r="C154" s="7"/>
      <c r="D154" s="18"/>
      <c r="F154" s="94"/>
      <c r="J154" s="24"/>
      <c r="K154" s="24"/>
      <c r="W154" s="585"/>
      <c r="X154" s="584"/>
    </row>
    <row r="155" spans="1:24" s="2" customFormat="1" ht="14.25">
      <c r="A155" s="18"/>
      <c r="B155" s="18"/>
      <c r="C155" s="7"/>
      <c r="D155" s="18"/>
      <c r="F155" s="94"/>
      <c r="J155" s="24"/>
      <c r="K155" s="24"/>
      <c r="W155" s="585"/>
      <c r="X155" s="584"/>
    </row>
    <row r="156" spans="1:24" s="2" customFormat="1" ht="14.25">
      <c r="A156" s="18"/>
      <c r="B156" s="18"/>
      <c r="C156" s="7"/>
      <c r="D156" s="18"/>
      <c r="F156" s="94"/>
      <c r="J156" s="24"/>
      <c r="K156" s="24"/>
      <c r="W156" s="585"/>
      <c r="X156" s="584"/>
    </row>
    <row r="157" spans="1:24" s="2" customFormat="1" ht="14.25">
      <c r="A157" s="18"/>
      <c r="B157" s="18"/>
      <c r="C157" s="7"/>
      <c r="D157" s="18"/>
      <c r="F157" s="94"/>
      <c r="J157" s="24"/>
      <c r="K157" s="24"/>
      <c r="W157" s="585"/>
      <c r="X157" s="584"/>
    </row>
    <row r="158" spans="1:24" s="2" customFormat="1" ht="14.25">
      <c r="A158" s="18"/>
      <c r="B158" s="18"/>
      <c r="C158" s="7"/>
      <c r="D158" s="18"/>
      <c r="F158" s="94"/>
      <c r="J158" s="24"/>
      <c r="K158" s="24"/>
      <c r="W158" s="585"/>
      <c r="X158" s="584"/>
    </row>
    <row r="159" spans="1:24" s="2" customFormat="1" ht="14.25">
      <c r="A159" s="18"/>
      <c r="B159" s="18"/>
      <c r="C159" s="7"/>
      <c r="D159" s="18"/>
      <c r="F159" s="94"/>
      <c r="J159" s="24"/>
      <c r="K159" s="24"/>
      <c r="W159" s="585"/>
      <c r="X159" s="584"/>
    </row>
    <row r="160" spans="1:24" s="2" customFormat="1" ht="14.25">
      <c r="A160" s="18"/>
      <c r="B160" s="18"/>
      <c r="C160" s="7"/>
      <c r="D160" s="18"/>
      <c r="F160" s="94"/>
      <c r="J160" s="24"/>
      <c r="K160" s="24"/>
      <c r="W160" s="585"/>
      <c r="X160" s="584"/>
    </row>
    <row r="161" spans="1:24" s="2" customFormat="1" ht="14.25">
      <c r="A161" s="18"/>
      <c r="B161" s="18"/>
      <c r="C161" s="7"/>
      <c r="D161" s="18"/>
      <c r="F161" s="94"/>
      <c r="J161" s="24"/>
      <c r="K161" s="24"/>
      <c r="W161" s="585"/>
      <c r="X161" s="584"/>
    </row>
    <row r="162" spans="1:24" s="2" customFormat="1" ht="14.25">
      <c r="A162" s="18"/>
      <c r="B162" s="18"/>
      <c r="C162" s="7"/>
      <c r="D162" s="18"/>
      <c r="F162" s="94"/>
      <c r="J162" s="24"/>
      <c r="K162" s="24"/>
      <c r="W162" s="585"/>
      <c r="X162" s="584"/>
    </row>
    <row r="163" spans="1:24" s="2" customFormat="1" ht="14.25">
      <c r="A163" s="18"/>
      <c r="B163" s="18"/>
      <c r="C163" s="7"/>
      <c r="D163" s="18"/>
      <c r="F163" s="94"/>
      <c r="J163" s="24"/>
      <c r="K163" s="24"/>
      <c r="W163" s="585"/>
      <c r="X163" s="584"/>
    </row>
    <row r="164" spans="1:24" s="2" customFormat="1" ht="14.25">
      <c r="A164" s="18"/>
      <c r="B164" s="18"/>
      <c r="C164" s="7"/>
      <c r="D164" s="18"/>
      <c r="F164" s="94"/>
      <c r="J164" s="24"/>
      <c r="K164" s="24"/>
      <c r="W164" s="585"/>
      <c r="X164" s="584"/>
    </row>
    <row r="165" spans="1:24" s="2" customFormat="1" ht="14.25">
      <c r="A165" s="18"/>
      <c r="B165" s="18"/>
      <c r="C165" s="7"/>
      <c r="D165" s="18"/>
      <c r="F165" s="94"/>
      <c r="J165" s="24"/>
      <c r="K165" s="24"/>
      <c r="W165" s="585"/>
      <c r="X165" s="584"/>
    </row>
    <row r="166" spans="1:24" s="2" customFormat="1">
      <c r="A166" s="19"/>
      <c r="B166" s="19"/>
      <c r="C166" s="7"/>
      <c r="D166" s="19"/>
      <c r="F166" s="95"/>
      <c r="J166" s="24"/>
      <c r="K166" s="24"/>
      <c r="W166" s="585"/>
      <c r="X166" s="584"/>
    </row>
    <row r="167" spans="1:24" s="2" customFormat="1">
      <c r="A167" s="19"/>
      <c r="B167" s="19"/>
      <c r="C167" s="7"/>
      <c r="D167" s="19"/>
      <c r="F167" s="95"/>
      <c r="J167" s="24"/>
      <c r="K167" s="24"/>
      <c r="W167" s="585"/>
      <c r="X167" s="584"/>
    </row>
    <row r="168" spans="1:24" s="2" customFormat="1">
      <c r="A168" s="19"/>
      <c r="B168" s="19"/>
      <c r="C168" s="7"/>
      <c r="D168" s="19"/>
      <c r="F168" s="95"/>
      <c r="J168" s="24"/>
      <c r="K168" s="24"/>
      <c r="W168" s="585"/>
      <c r="X168" s="584"/>
    </row>
    <row r="169" spans="1:24">
      <c r="C169" s="7"/>
      <c r="J169" s="24"/>
      <c r="K169" s="24"/>
    </row>
    <row r="170" spans="1:24">
      <c r="C170" s="7"/>
      <c r="J170" s="24"/>
      <c r="K170" s="24"/>
    </row>
  </sheetData>
  <mergeCells count="11">
    <mergeCell ref="A7:A10"/>
    <mergeCell ref="B7:B10"/>
    <mergeCell ref="W1:X1"/>
    <mergeCell ref="P19:P20"/>
    <mergeCell ref="H19:H20"/>
    <mergeCell ref="N19:N20"/>
    <mergeCell ref="M19:M20"/>
    <mergeCell ref="Q19:Q20"/>
    <mergeCell ref="R19:R20"/>
    <mergeCell ref="S19:S20"/>
    <mergeCell ref="O19:O20"/>
  </mergeCells>
  <phoneticPr fontId="3" type="noConversion"/>
  <conditionalFormatting sqref="L4:L21">
    <cfRule type="cellIs" dxfId="118" priority="24" operator="lessThan">
      <formula>-0.3</formula>
    </cfRule>
    <cfRule type="cellIs" dxfId="117" priority="25" operator="greaterThan">
      <formula>0.3</formula>
    </cfRule>
  </conditionalFormatting>
  <conditionalFormatting sqref="L4:L21">
    <cfRule type="cellIs" dxfId="116" priority="22" stopIfTrue="1" operator="lessThanOrEqual">
      <formula>-0.3</formula>
    </cfRule>
    <cfRule type="cellIs" dxfId="115" priority="23" stopIfTrue="1" operator="greaterThanOrEqual">
      <formula>0.3</formula>
    </cfRule>
  </conditionalFormatting>
  <conditionalFormatting sqref="P16:S19 Q7:Q19 P7:S14 P4:P5 Q4 R4:S19 P21:S21">
    <cfRule type="expression" dxfId="114" priority="19">
      <formula>P4&lt;&gt;0</formula>
    </cfRule>
  </conditionalFormatting>
  <conditionalFormatting sqref="P15:S17">
    <cfRule type="expression" dxfId="113" priority="10">
      <formula>$P$15&lt;&gt;0</formula>
    </cfRule>
  </conditionalFormatting>
  <conditionalFormatting sqref="O4:O19 O21">
    <cfRule type="cellIs" dxfId="112" priority="5" stopIfTrue="1" operator="lessThan">
      <formula>0</formula>
    </cfRule>
    <cfRule type="cellIs" dxfId="111" priority="6" operator="greaterThan">
      <formula>0</formula>
    </cfRule>
  </conditionalFormatting>
  <hyperlinks>
    <hyperlink ref="D31" location="权重!A1" display="权重!A1"/>
    <hyperlink ref="D32" location="目录!A1" display="目录!A1"/>
  </hyperlinks>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sheetPr codeName="Sheet5">
    <tabColor theme="6"/>
  </sheetPr>
  <dimension ref="A1:AI85"/>
  <sheetViews>
    <sheetView workbookViewId="0">
      <pane xSplit="8" ySplit="3" topLeftCell="I4" activePane="bottomRight" state="frozenSplit"/>
      <selection activeCell="C1" sqref="C1"/>
      <selection pane="topRight" activeCell="T1" sqref="T1"/>
      <selection pane="bottomLeft" activeCell="C15" sqref="C15"/>
      <selection pane="bottomRight" activeCell="L1" sqref="L1:L1048576"/>
    </sheetView>
  </sheetViews>
  <sheetFormatPr defaultColWidth="8.875" defaultRowHeight="16.5" outlineLevelCol="1"/>
  <cols>
    <col min="1" max="1" width="20.75" style="1" customWidth="1" outlineLevel="1"/>
    <col min="2" max="2" width="20.75" style="312" customWidth="1" outlineLevel="1"/>
    <col min="3" max="3" width="4.625" style="8" customWidth="1"/>
    <col min="4" max="4" width="27.5" style="1" customWidth="1"/>
    <col min="5" max="5" width="13.125" style="488" customWidth="1"/>
    <col min="6" max="6" width="11.5" style="31" hidden="1" customWidth="1" outlineLevel="1"/>
    <col min="7" max="7" width="10.5" style="1" hidden="1" customWidth="1" outlineLevel="1"/>
    <col min="8" max="8" width="9" style="1" customWidth="1" collapsed="1"/>
    <col min="9" max="9" width="10.75" style="1" customWidth="1" outlineLevel="1"/>
    <col min="10" max="10" width="12.5" style="1" customWidth="1" outlineLevel="1"/>
    <col min="11" max="11" width="9.75" style="1" customWidth="1" outlineLevel="1"/>
    <col min="12" max="12" width="13.375" style="456" customWidth="1"/>
    <col min="13" max="13" width="13.875" style="456" customWidth="1"/>
    <col min="14" max="14" width="13.125" style="27" customWidth="1"/>
    <col min="15" max="15" width="9.375" style="27" customWidth="1"/>
    <col min="16" max="16" width="9.5" style="1" customWidth="1"/>
    <col min="17" max="17" width="10" style="1" customWidth="1"/>
    <col min="18" max="19" width="9" style="1" customWidth="1"/>
    <col min="20" max="20" width="8.625" style="1" customWidth="1"/>
    <col min="21" max="21" width="10.25" style="1" customWidth="1"/>
    <col min="22" max="22" width="10.375" style="1" customWidth="1"/>
    <col min="23" max="24" width="9" style="1" customWidth="1"/>
    <col min="25" max="25" width="8.375" style="683" customWidth="1" outlineLevel="1"/>
    <col min="26" max="34" width="8.875" style="683" customWidth="1" outlineLevel="1"/>
    <col min="35" max="35" width="17.25" style="1" customWidth="1"/>
    <col min="36" max="16384" width="8.875" style="1"/>
  </cols>
  <sheetData>
    <row r="1" spans="1:34">
      <c r="A1" s="162"/>
      <c r="B1" s="363"/>
      <c r="C1" s="160" t="s">
        <v>150</v>
      </c>
      <c r="D1" s="161"/>
      <c r="E1" s="126"/>
      <c r="F1" s="162"/>
      <c r="L1" s="451"/>
      <c r="M1" s="451"/>
      <c r="N1" s="47"/>
      <c r="O1" s="47"/>
    </row>
    <row r="2" spans="1:34">
      <c r="A2" s="779"/>
      <c r="B2" s="780"/>
      <c r="C2" s="37"/>
      <c r="D2" s="37"/>
      <c r="E2" s="126"/>
      <c r="F2" s="37"/>
      <c r="L2" s="451"/>
      <c r="M2" s="451"/>
      <c r="N2" s="47"/>
      <c r="O2" s="47"/>
      <c r="Q2" s="308" t="s">
        <v>2009</v>
      </c>
      <c r="Z2" s="683" t="s">
        <v>1656</v>
      </c>
    </row>
    <row r="3" spans="1:34" s="2" customFormat="1" ht="15">
      <c r="A3" s="67" t="s">
        <v>482</v>
      </c>
      <c r="B3" s="67" t="s">
        <v>483</v>
      </c>
      <c r="C3" s="773" t="s">
        <v>235</v>
      </c>
      <c r="D3" s="15" t="s">
        <v>229</v>
      </c>
      <c r="E3" s="15" t="s">
        <v>1852</v>
      </c>
      <c r="F3" s="15" t="s">
        <v>1853</v>
      </c>
      <c r="G3" s="15" t="s">
        <v>1895</v>
      </c>
      <c r="H3" s="15" t="s">
        <v>1892</v>
      </c>
      <c r="I3" s="15"/>
      <c r="J3" s="15"/>
      <c r="K3" s="15"/>
      <c r="L3" s="15" t="s">
        <v>1893</v>
      </c>
      <c r="M3" s="15" t="s">
        <v>1707</v>
      </c>
      <c r="N3" s="721" t="s">
        <v>1913</v>
      </c>
      <c r="O3" s="15" t="s">
        <v>1894</v>
      </c>
      <c r="P3" s="721" t="s">
        <v>1883</v>
      </c>
      <c r="Q3" s="15" t="s">
        <v>1863</v>
      </c>
      <c r="R3" s="767" t="s">
        <v>1203</v>
      </c>
      <c r="S3" s="766" t="s">
        <v>1896</v>
      </c>
      <c r="T3" s="766" t="s">
        <v>1952</v>
      </c>
      <c r="U3" s="766" t="s">
        <v>1953</v>
      </c>
      <c r="V3" s="766" t="s">
        <v>1954</v>
      </c>
      <c r="Y3" s="585"/>
      <c r="Z3" s="585" t="s">
        <v>1668</v>
      </c>
      <c r="AA3" s="585" t="s">
        <v>1664</v>
      </c>
      <c r="AB3" s="585" t="s">
        <v>1669</v>
      </c>
      <c r="AC3" s="585" t="s">
        <v>1670</v>
      </c>
      <c r="AD3" s="585" t="s">
        <v>1629</v>
      </c>
      <c r="AE3" s="585" t="s">
        <v>1630</v>
      </c>
      <c r="AF3" s="585" t="s">
        <v>1693</v>
      </c>
      <c r="AG3" s="585" t="s">
        <v>1694</v>
      </c>
      <c r="AH3" s="585"/>
    </row>
    <row r="4" spans="1:34" s="2" customFormat="1" ht="15.6" customHeight="1">
      <c r="A4" s="764" t="s">
        <v>392</v>
      </c>
      <c r="B4" s="1056" t="s">
        <v>2249</v>
      </c>
      <c r="C4" s="774">
        <v>1</v>
      </c>
      <c r="D4" s="1036" t="s">
        <v>2093</v>
      </c>
      <c r="E4" s="483" t="s">
        <v>259</v>
      </c>
      <c r="F4" s="102" t="s">
        <v>491</v>
      </c>
      <c r="G4" s="5" t="s">
        <v>287</v>
      </c>
      <c r="H4" s="200">
        <v>6</v>
      </c>
      <c r="I4" s="5" t="s">
        <v>151</v>
      </c>
      <c r="J4" s="5" t="s">
        <v>152</v>
      </c>
      <c r="K4" s="5" t="s">
        <v>153</v>
      </c>
      <c r="L4" s="49" t="s">
        <v>151</v>
      </c>
      <c r="M4" s="458" t="s">
        <v>153</v>
      </c>
      <c r="N4" s="62" t="s">
        <v>2100</v>
      </c>
      <c r="O4" s="290">
        <f>IF((N4=M4)=TRUE,0,1)</f>
        <v>0</v>
      </c>
      <c r="P4" s="761">
        <v>0</v>
      </c>
      <c r="Q4" s="761">
        <v>0</v>
      </c>
      <c r="R4" s="1039">
        <f t="shared" ref="R4:R40" si="0">P4-Q4</f>
        <v>0</v>
      </c>
      <c r="S4" s="552">
        <f t="shared" ref="S4:S40" si="1">H4-P4</f>
        <v>6</v>
      </c>
      <c r="T4" s="552">
        <f>S4*0.6</f>
        <v>3.5999999999999996</v>
      </c>
      <c r="U4" s="552">
        <f>T4/9</f>
        <v>0.39999999999999997</v>
      </c>
      <c r="V4" s="552">
        <f>U4/2</f>
        <v>0.19999999999999998</v>
      </c>
      <c r="W4" s="2" t="b">
        <f t="shared" ref="W4:W40" si="2">Q4=P4</f>
        <v>1</v>
      </c>
      <c r="Y4" s="585"/>
      <c r="Z4" s="583">
        <v>0.5</v>
      </c>
      <c r="AA4" s="583">
        <f t="shared" ref="AA4:AA41" si="3">$P4</f>
        <v>0</v>
      </c>
      <c r="AB4" s="583">
        <v>0.5</v>
      </c>
      <c r="AC4" s="583">
        <f t="shared" ref="AC4:AC41" si="4">$P4</f>
        <v>0</v>
      </c>
      <c r="AD4" s="583">
        <v>0</v>
      </c>
      <c r="AE4" s="583"/>
      <c r="AF4" s="583"/>
      <c r="AG4" s="583"/>
      <c r="AH4" s="689">
        <f t="shared" ref="AH4:AH41" si="5">SUM(AD4,AB4,Z4)</f>
        <v>1</v>
      </c>
    </row>
    <row r="5" spans="1:34" s="2" customFormat="1" ht="15.6" customHeight="1">
      <c r="A5" s="764"/>
      <c r="B5" s="758"/>
      <c r="C5" s="774">
        <v>2</v>
      </c>
      <c r="D5" s="23" t="s">
        <v>2248</v>
      </c>
      <c r="E5" s="483" t="s">
        <v>259</v>
      </c>
      <c r="F5" s="102" t="s">
        <v>491</v>
      </c>
      <c r="G5" s="5" t="s">
        <v>287</v>
      </c>
      <c r="H5" s="386"/>
      <c r="I5" s="5"/>
      <c r="J5" s="5"/>
      <c r="K5" s="5"/>
      <c r="L5" s="452" t="s">
        <v>736</v>
      </c>
      <c r="M5" s="450" t="s">
        <v>277</v>
      </c>
      <c r="N5" s="387" t="s">
        <v>277</v>
      </c>
      <c r="O5" s="290">
        <f>IF((N5=M5)=TRUE,0,1)</f>
        <v>0</v>
      </c>
      <c r="P5" s="761"/>
      <c r="Q5" s="761"/>
      <c r="R5" s="512">
        <f t="shared" si="0"/>
        <v>0</v>
      </c>
      <c r="S5" s="552">
        <f t="shared" si="1"/>
        <v>0</v>
      </c>
      <c r="T5" s="552">
        <f t="shared" ref="T5:T44" si="6">S5*0.6</f>
        <v>0</v>
      </c>
      <c r="U5" s="552">
        <f t="shared" ref="U5:U44" si="7">T5/9</f>
        <v>0</v>
      </c>
      <c r="V5" s="552">
        <f t="shared" ref="V5:V44" si="8">U5/2</f>
        <v>0</v>
      </c>
      <c r="W5" s="2" t="b">
        <f t="shared" si="2"/>
        <v>1</v>
      </c>
      <c r="Y5" s="585"/>
      <c r="Z5" s="583">
        <v>0</v>
      </c>
      <c r="AA5" s="583">
        <f t="shared" si="3"/>
        <v>0</v>
      </c>
      <c r="AB5" s="583">
        <v>1</v>
      </c>
      <c r="AC5" s="583">
        <f t="shared" si="4"/>
        <v>0</v>
      </c>
      <c r="AD5" s="583">
        <v>0</v>
      </c>
      <c r="AE5" s="583"/>
      <c r="AF5" s="583"/>
      <c r="AG5" s="583"/>
      <c r="AH5" s="689">
        <f t="shared" si="5"/>
        <v>1</v>
      </c>
    </row>
    <row r="6" spans="1:34" s="2" customFormat="1" ht="15.6" customHeight="1">
      <c r="A6" s="764" t="s">
        <v>393</v>
      </c>
      <c r="B6" s="758" t="s">
        <v>1177</v>
      </c>
      <c r="C6" s="774">
        <v>3</v>
      </c>
      <c r="D6" s="23" t="s">
        <v>238</v>
      </c>
      <c r="E6" s="483" t="s">
        <v>259</v>
      </c>
      <c r="F6" s="102" t="s">
        <v>491</v>
      </c>
      <c r="G6" s="5" t="s">
        <v>287</v>
      </c>
      <c r="H6" s="200">
        <v>4</v>
      </c>
      <c r="I6" s="5"/>
      <c r="J6" s="5"/>
      <c r="K6" s="5"/>
      <c r="L6" s="452"/>
      <c r="M6" s="762">
        <v>29</v>
      </c>
      <c r="N6" s="387">
        <v>30</v>
      </c>
      <c r="O6" s="290">
        <f t="shared" ref="O6:O13" si="9">IF(AND(M6=0,N6&lt;&gt;0),1,IF(AND(M6=0,N6=0),0,N6/M6-1))</f>
        <v>3.4482758620689724E-2</v>
      </c>
      <c r="P6" s="761">
        <v>4</v>
      </c>
      <c r="Q6" s="761">
        <v>4</v>
      </c>
      <c r="R6" s="512">
        <f t="shared" si="0"/>
        <v>0</v>
      </c>
      <c r="S6" s="552">
        <f t="shared" si="1"/>
        <v>0</v>
      </c>
      <c r="T6" s="552">
        <f t="shared" si="6"/>
        <v>0</v>
      </c>
      <c r="U6" s="552">
        <f t="shared" si="7"/>
        <v>0</v>
      </c>
      <c r="V6" s="552">
        <f t="shared" si="8"/>
        <v>0</v>
      </c>
      <c r="W6" s="2" t="b">
        <f t="shared" si="2"/>
        <v>1</v>
      </c>
      <c r="Y6" s="585"/>
      <c r="Z6" s="583">
        <v>1</v>
      </c>
      <c r="AA6" s="583">
        <f t="shared" si="3"/>
        <v>4</v>
      </c>
      <c r="AB6" s="583">
        <v>1</v>
      </c>
      <c r="AC6" s="583">
        <f t="shared" si="4"/>
        <v>4</v>
      </c>
      <c r="AD6" s="583">
        <v>0</v>
      </c>
      <c r="AE6" s="583"/>
      <c r="AF6" s="583"/>
      <c r="AG6" s="583"/>
      <c r="AH6" s="689">
        <f t="shared" si="5"/>
        <v>2</v>
      </c>
    </row>
    <row r="7" spans="1:34" s="2" customFormat="1" ht="15.6" customHeight="1">
      <c r="A7" s="1677" t="s">
        <v>394</v>
      </c>
      <c r="B7" s="1568" t="s">
        <v>2114</v>
      </c>
      <c r="C7" s="774">
        <v>4</v>
      </c>
      <c r="D7" s="1414" t="s">
        <v>2113</v>
      </c>
      <c r="E7" s="485"/>
      <c r="F7" s="391" t="s">
        <v>490</v>
      </c>
      <c r="G7" s="5" t="s">
        <v>287</v>
      </c>
      <c r="H7" s="389">
        <v>2</v>
      </c>
      <c r="I7" s="5"/>
      <c r="J7" s="5"/>
      <c r="K7" s="5"/>
      <c r="L7" s="452"/>
      <c r="M7" s="459">
        <f>M8/(M9+M10)</f>
        <v>0.23684210526315788</v>
      </c>
      <c r="N7" s="129">
        <f>N8/(N9+N10)</f>
        <v>0.1891891891891892</v>
      </c>
      <c r="O7" s="290">
        <f t="shared" si="9"/>
        <v>-0.20120120120120111</v>
      </c>
      <c r="P7" s="761">
        <f>IF(N7&lt;=0.2,2,0)</f>
        <v>2</v>
      </c>
      <c r="Q7" s="761">
        <f>IF(M7&lt;=0.2,2,0)</f>
        <v>0</v>
      </c>
      <c r="R7" s="512">
        <f t="shared" si="0"/>
        <v>2</v>
      </c>
      <c r="S7" s="552">
        <f t="shared" si="1"/>
        <v>0</v>
      </c>
      <c r="T7" s="552">
        <f t="shared" si="6"/>
        <v>0</v>
      </c>
      <c r="U7" s="552">
        <f t="shared" si="7"/>
        <v>0</v>
      </c>
      <c r="V7" s="552">
        <f t="shared" si="8"/>
        <v>0</v>
      </c>
      <c r="W7" s="2" t="b">
        <f t="shared" si="2"/>
        <v>0</v>
      </c>
      <c r="Y7" s="585"/>
      <c r="Z7" s="583">
        <v>1</v>
      </c>
      <c r="AA7" s="583">
        <f t="shared" si="3"/>
        <v>2</v>
      </c>
      <c r="AB7" s="583">
        <v>1</v>
      </c>
      <c r="AC7" s="583">
        <f t="shared" si="4"/>
        <v>2</v>
      </c>
      <c r="AD7" s="583">
        <v>0</v>
      </c>
      <c r="AE7" s="583"/>
      <c r="AF7" s="583"/>
      <c r="AG7" s="583"/>
      <c r="AH7" s="689">
        <f t="shared" si="5"/>
        <v>2</v>
      </c>
    </row>
    <row r="8" spans="1:34" s="2" customFormat="1" ht="15.6" customHeight="1">
      <c r="A8" s="1677"/>
      <c r="B8" s="1568"/>
      <c r="C8" s="775">
        <v>4.0999999999999996</v>
      </c>
      <c r="D8" s="17" t="s">
        <v>154</v>
      </c>
      <c r="E8" s="483" t="s">
        <v>259</v>
      </c>
      <c r="F8" s="104"/>
      <c r="G8" s="5"/>
      <c r="H8" s="51"/>
      <c r="I8" s="5"/>
      <c r="J8" s="5"/>
      <c r="K8" s="5"/>
      <c r="L8" s="452" t="s">
        <v>736</v>
      </c>
      <c r="M8" s="762">
        <v>9</v>
      </c>
      <c r="N8" s="57">
        <v>7</v>
      </c>
      <c r="O8" s="290">
        <f t="shared" si="9"/>
        <v>-0.22222222222222221</v>
      </c>
      <c r="P8" s="761"/>
      <c r="Q8" s="761"/>
      <c r="R8" s="512">
        <f t="shared" si="0"/>
        <v>0</v>
      </c>
      <c r="S8" s="552">
        <f t="shared" si="1"/>
        <v>0</v>
      </c>
      <c r="T8" s="552">
        <f t="shared" si="6"/>
        <v>0</v>
      </c>
      <c r="U8" s="552">
        <f t="shared" si="7"/>
        <v>0</v>
      </c>
      <c r="V8" s="552">
        <f t="shared" si="8"/>
        <v>0</v>
      </c>
      <c r="W8" s="2" t="b">
        <f t="shared" si="2"/>
        <v>1</v>
      </c>
      <c r="Y8" s="585"/>
      <c r="Z8" s="583"/>
      <c r="AA8" s="583">
        <f t="shared" si="3"/>
        <v>0</v>
      </c>
      <c r="AB8" s="583"/>
      <c r="AC8" s="583">
        <f t="shared" si="4"/>
        <v>0</v>
      </c>
      <c r="AD8" s="583">
        <v>0</v>
      </c>
      <c r="AE8" s="583"/>
      <c r="AF8" s="583"/>
      <c r="AG8" s="583"/>
      <c r="AH8" s="689">
        <f t="shared" si="5"/>
        <v>0</v>
      </c>
    </row>
    <row r="9" spans="1:34" s="2" customFormat="1" ht="15.6" customHeight="1">
      <c r="A9" s="1677"/>
      <c r="B9" s="1568"/>
      <c r="C9" s="775">
        <v>4.2</v>
      </c>
      <c r="D9" s="17" t="s">
        <v>155</v>
      </c>
      <c r="E9" s="483" t="s">
        <v>259</v>
      </c>
      <c r="F9" s="104"/>
      <c r="G9" s="5"/>
      <c r="H9" s="51"/>
      <c r="I9" s="5"/>
      <c r="J9" s="5"/>
      <c r="K9" s="5"/>
      <c r="L9" s="452" t="s">
        <v>736</v>
      </c>
      <c r="M9" s="762">
        <v>27</v>
      </c>
      <c r="N9" s="57">
        <v>28</v>
      </c>
      <c r="O9" s="290">
        <f t="shared" si="9"/>
        <v>3.7037037037036979E-2</v>
      </c>
      <c r="P9" s="761"/>
      <c r="Q9" s="761"/>
      <c r="R9" s="512">
        <f t="shared" si="0"/>
        <v>0</v>
      </c>
      <c r="S9" s="552">
        <f t="shared" si="1"/>
        <v>0</v>
      </c>
      <c r="T9" s="552">
        <f t="shared" si="6"/>
        <v>0</v>
      </c>
      <c r="U9" s="552">
        <f t="shared" si="7"/>
        <v>0</v>
      </c>
      <c r="V9" s="552">
        <f t="shared" si="8"/>
        <v>0</v>
      </c>
      <c r="W9" s="2" t="b">
        <f t="shared" si="2"/>
        <v>1</v>
      </c>
      <c r="Y9" s="585"/>
      <c r="Z9" s="583"/>
      <c r="AA9" s="583">
        <f t="shared" si="3"/>
        <v>0</v>
      </c>
      <c r="AB9" s="583"/>
      <c r="AC9" s="583">
        <f t="shared" si="4"/>
        <v>0</v>
      </c>
      <c r="AD9" s="583">
        <v>0</v>
      </c>
      <c r="AE9" s="583"/>
      <c r="AF9" s="583"/>
      <c r="AG9" s="583"/>
      <c r="AH9" s="689">
        <f t="shared" si="5"/>
        <v>0</v>
      </c>
    </row>
    <row r="10" spans="1:34" s="2" customFormat="1" ht="15.6" customHeight="1">
      <c r="A10" s="1677"/>
      <c r="B10" s="1568"/>
      <c r="C10" s="775">
        <v>4.3</v>
      </c>
      <c r="D10" s="17" t="s">
        <v>156</v>
      </c>
      <c r="E10" s="483" t="s">
        <v>259</v>
      </c>
      <c r="F10" s="392"/>
      <c r="G10" s="5"/>
      <c r="H10" s="51"/>
      <c r="I10" s="5"/>
      <c r="J10" s="5"/>
      <c r="K10" s="5"/>
      <c r="L10" s="452" t="s">
        <v>736</v>
      </c>
      <c r="M10" s="762">
        <v>11</v>
      </c>
      <c r="N10" s="57">
        <v>9</v>
      </c>
      <c r="O10" s="290">
        <f t="shared" si="9"/>
        <v>-0.18181818181818177</v>
      </c>
      <c r="P10" s="761"/>
      <c r="Q10" s="761"/>
      <c r="R10" s="512">
        <f t="shared" si="0"/>
        <v>0</v>
      </c>
      <c r="S10" s="552">
        <f t="shared" si="1"/>
        <v>0</v>
      </c>
      <c r="T10" s="552">
        <f t="shared" si="6"/>
        <v>0</v>
      </c>
      <c r="U10" s="552">
        <f t="shared" si="7"/>
        <v>0</v>
      </c>
      <c r="V10" s="552">
        <f t="shared" si="8"/>
        <v>0</v>
      </c>
      <c r="W10" s="2" t="b">
        <f t="shared" si="2"/>
        <v>1</v>
      </c>
      <c r="Y10" s="585"/>
      <c r="Z10" s="583"/>
      <c r="AA10" s="583">
        <f t="shared" si="3"/>
        <v>0</v>
      </c>
      <c r="AB10" s="583"/>
      <c r="AC10" s="583">
        <f t="shared" si="4"/>
        <v>0</v>
      </c>
      <c r="AD10" s="583">
        <v>0</v>
      </c>
      <c r="AE10" s="583"/>
      <c r="AF10" s="583"/>
      <c r="AG10" s="583"/>
      <c r="AH10" s="689">
        <f t="shared" si="5"/>
        <v>0</v>
      </c>
    </row>
    <row r="11" spans="1:34" s="2" customFormat="1" ht="15.6" customHeight="1">
      <c r="A11" s="764" t="s">
        <v>395</v>
      </c>
      <c r="B11" s="758" t="s">
        <v>396</v>
      </c>
      <c r="C11" s="774">
        <v>5</v>
      </c>
      <c r="D11" s="23" t="s">
        <v>2115</v>
      </c>
      <c r="E11" s="485"/>
      <c r="F11" s="391" t="s">
        <v>490</v>
      </c>
      <c r="G11" s="5" t="s">
        <v>287</v>
      </c>
      <c r="H11" s="389">
        <v>4</v>
      </c>
      <c r="I11" s="5"/>
      <c r="J11" s="5"/>
      <c r="K11" s="5"/>
      <c r="L11" s="452"/>
      <c r="M11" s="460">
        <f>M12/M13</f>
        <v>17.172413793103448</v>
      </c>
      <c r="N11" s="64">
        <f>N12/N13</f>
        <v>15.033333333333333</v>
      </c>
      <c r="O11" s="290">
        <f t="shared" si="9"/>
        <v>-0.12456492637215533</v>
      </c>
      <c r="P11" s="761">
        <f>IF(N11&gt;=2,4,0)</f>
        <v>4</v>
      </c>
      <c r="Q11" s="761">
        <f>IF(M11&gt;=2,4,0)</f>
        <v>4</v>
      </c>
      <c r="R11" s="512">
        <f t="shared" si="0"/>
        <v>0</v>
      </c>
      <c r="S11" s="552">
        <f t="shared" si="1"/>
        <v>0</v>
      </c>
      <c r="T11" s="552">
        <f t="shared" si="6"/>
        <v>0</v>
      </c>
      <c r="U11" s="552">
        <f t="shared" si="7"/>
        <v>0</v>
      </c>
      <c r="V11" s="552">
        <f t="shared" si="8"/>
        <v>0</v>
      </c>
      <c r="W11" s="2" t="b">
        <f t="shared" si="2"/>
        <v>1</v>
      </c>
      <c r="Y11" s="585"/>
      <c r="Z11" s="583">
        <v>1</v>
      </c>
      <c r="AA11" s="583">
        <f t="shared" si="3"/>
        <v>4</v>
      </c>
      <c r="AB11" s="583">
        <v>1</v>
      </c>
      <c r="AC11" s="583">
        <f t="shared" si="4"/>
        <v>4</v>
      </c>
      <c r="AD11" s="583">
        <v>0</v>
      </c>
      <c r="AE11" s="583"/>
      <c r="AF11" s="583"/>
      <c r="AG11" s="583"/>
      <c r="AH11" s="689">
        <f t="shared" si="5"/>
        <v>2</v>
      </c>
    </row>
    <row r="12" spans="1:34" s="2" customFormat="1" ht="15.6" customHeight="1">
      <c r="A12" s="764"/>
      <c r="B12" s="758"/>
      <c r="C12" s="775">
        <v>5.0999999999999996</v>
      </c>
      <c r="D12" s="17" t="s">
        <v>239</v>
      </c>
      <c r="E12" s="483" t="s">
        <v>259</v>
      </c>
      <c r="F12" s="104"/>
      <c r="G12" s="5"/>
      <c r="H12" s="386"/>
      <c r="I12" s="5"/>
      <c r="J12" s="5"/>
      <c r="K12" s="5"/>
      <c r="L12" s="452" t="s">
        <v>737</v>
      </c>
      <c r="M12" s="762">
        <v>498</v>
      </c>
      <c r="N12" s="387">
        <v>451</v>
      </c>
      <c r="O12" s="290">
        <f t="shared" si="9"/>
        <v>-9.4377510040160595E-2</v>
      </c>
      <c r="P12" s="761"/>
      <c r="Q12" s="761"/>
      <c r="R12" s="512">
        <f t="shared" si="0"/>
        <v>0</v>
      </c>
      <c r="S12" s="552">
        <f t="shared" si="1"/>
        <v>0</v>
      </c>
      <c r="T12" s="552">
        <f t="shared" si="6"/>
        <v>0</v>
      </c>
      <c r="U12" s="552">
        <f t="shared" si="7"/>
        <v>0</v>
      </c>
      <c r="V12" s="552">
        <f t="shared" si="8"/>
        <v>0</v>
      </c>
      <c r="W12" s="2" t="b">
        <f t="shared" si="2"/>
        <v>1</v>
      </c>
      <c r="Y12" s="585"/>
      <c r="Z12" s="583"/>
      <c r="AA12" s="583">
        <f t="shared" si="3"/>
        <v>0</v>
      </c>
      <c r="AB12" s="583"/>
      <c r="AC12" s="583">
        <f t="shared" si="4"/>
        <v>0</v>
      </c>
      <c r="AD12" s="583">
        <v>0</v>
      </c>
      <c r="AE12" s="583"/>
      <c r="AF12" s="583"/>
      <c r="AG12" s="583"/>
      <c r="AH12" s="689">
        <f t="shared" si="5"/>
        <v>0</v>
      </c>
    </row>
    <row r="13" spans="1:34" s="2" customFormat="1" ht="15.6" customHeight="1">
      <c r="A13" s="764"/>
      <c r="B13" s="758"/>
      <c r="C13" s="775">
        <v>5.2</v>
      </c>
      <c r="D13" s="17" t="s">
        <v>157</v>
      </c>
      <c r="E13" s="483" t="s">
        <v>259</v>
      </c>
      <c r="F13" s="392"/>
      <c r="G13" s="5"/>
      <c r="H13" s="54"/>
      <c r="I13" s="5"/>
      <c r="J13" s="5"/>
      <c r="K13" s="5"/>
      <c r="L13" s="452" t="s">
        <v>736</v>
      </c>
      <c r="M13" s="762">
        <v>29</v>
      </c>
      <c r="N13" s="57">
        <v>30</v>
      </c>
      <c r="O13" s="290">
        <f t="shared" si="9"/>
        <v>3.4482758620689724E-2</v>
      </c>
      <c r="P13" s="761"/>
      <c r="Q13" s="761"/>
      <c r="R13" s="512">
        <f t="shared" si="0"/>
        <v>0</v>
      </c>
      <c r="S13" s="552">
        <f t="shared" si="1"/>
        <v>0</v>
      </c>
      <c r="T13" s="552">
        <f t="shared" si="6"/>
        <v>0</v>
      </c>
      <c r="U13" s="552">
        <f t="shared" si="7"/>
        <v>0</v>
      </c>
      <c r="V13" s="552">
        <f t="shared" si="8"/>
        <v>0</v>
      </c>
      <c r="W13" s="2" t="b">
        <f t="shared" si="2"/>
        <v>1</v>
      </c>
      <c r="Y13" s="585"/>
      <c r="Z13" s="583"/>
      <c r="AA13" s="583">
        <f t="shared" si="3"/>
        <v>0</v>
      </c>
      <c r="AB13" s="583"/>
      <c r="AC13" s="583">
        <f t="shared" si="4"/>
        <v>0</v>
      </c>
      <c r="AD13" s="583">
        <v>0</v>
      </c>
      <c r="AE13" s="583"/>
      <c r="AF13" s="583"/>
      <c r="AG13" s="583"/>
      <c r="AH13" s="689">
        <f t="shared" si="5"/>
        <v>0</v>
      </c>
    </row>
    <row r="14" spans="1:34" s="2" customFormat="1" ht="15.6" customHeight="1">
      <c r="A14" s="764" t="s">
        <v>397</v>
      </c>
      <c r="B14" s="758" t="s">
        <v>398</v>
      </c>
      <c r="C14" s="774">
        <v>6</v>
      </c>
      <c r="D14" s="20" t="s">
        <v>158</v>
      </c>
      <c r="E14" s="483" t="s">
        <v>259</v>
      </c>
      <c r="F14" s="102" t="s">
        <v>486</v>
      </c>
      <c r="G14" s="5" t="s">
        <v>287</v>
      </c>
      <c r="H14" s="389">
        <v>4</v>
      </c>
      <c r="I14" s="5" t="s">
        <v>159</v>
      </c>
      <c r="J14" s="5" t="s">
        <v>160</v>
      </c>
      <c r="K14" s="5"/>
      <c r="L14" s="49" t="s">
        <v>159</v>
      </c>
      <c r="M14" s="461" t="s">
        <v>159</v>
      </c>
      <c r="N14" s="388" t="s">
        <v>159</v>
      </c>
      <c r="O14" s="290">
        <f>IF((N14=M14)=TRUE,0,1)</f>
        <v>0</v>
      </c>
      <c r="P14" s="761">
        <v>4</v>
      </c>
      <c r="Q14" s="761">
        <v>4</v>
      </c>
      <c r="R14" s="512">
        <f t="shared" si="0"/>
        <v>0</v>
      </c>
      <c r="S14" s="552">
        <f t="shared" si="1"/>
        <v>0</v>
      </c>
      <c r="T14" s="552">
        <f t="shared" si="6"/>
        <v>0</v>
      </c>
      <c r="U14" s="552">
        <f t="shared" si="7"/>
        <v>0</v>
      </c>
      <c r="V14" s="552">
        <f t="shared" si="8"/>
        <v>0</v>
      </c>
      <c r="W14" s="2" t="b">
        <f t="shared" si="2"/>
        <v>1</v>
      </c>
      <c r="Y14" s="585"/>
      <c r="Z14" s="583">
        <v>1</v>
      </c>
      <c r="AA14" s="583">
        <f t="shared" si="3"/>
        <v>4</v>
      </c>
      <c r="AB14" s="583">
        <v>1</v>
      </c>
      <c r="AC14" s="583">
        <f t="shared" si="4"/>
        <v>4</v>
      </c>
      <c r="AD14" s="583">
        <v>0</v>
      </c>
      <c r="AE14" s="583"/>
      <c r="AF14" s="583"/>
      <c r="AG14" s="583"/>
      <c r="AH14" s="689">
        <f t="shared" si="5"/>
        <v>2</v>
      </c>
    </row>
    <row r="15" spans="1:34" s="2" customFormat="1" ht="15.6" customHeight="1">
      <c r="A15" s="764" t="s">
        <v>399</v>
      </c>
      <c r="B15" s="758" t="s">
        <v>400</v>
      </c>
      <c r="C15" s="774">
        <v>7</v>
      </c>
      <c r="D15" s="20" t="s">
        <v>71</v>
      </c>
      <c r="E15" s="483" t="s">
        <v>259</v>
      </c>
      <c r="F15" s="102" t="s">
        <v>486</v>
      </c>
      <c r="G15" s="5" t="s">
        <v>287</v>
      </c>
      <c r="H15" s="200">
        <v>5</v>
      </c>
      <c r="I15" s="5" t="s">
        <v>161</v>
      </c>
      <c r="J15" s="5" t="s">
        <v>162</v>
      </c>
      <c r="K15" s="5"/>
      <c r="L15" s="49"/>
      <c r="M15" s="461" t="s">
        <v>161</v>
      </c>
      <c r="N15" s="240" t="s">
        <v>161</v>
      </c>
      <c r="O15" s="290">
        <f>IF((N15=M15)=TRUE,0,1)</f>
        <v>0</v>
      </c>
      <c r="P15" s="761">
        <v>5</v>
      </c>
      <c r="Q15" s="761">
        <v>5</v>
      </c>
      <c r="R15" s="512">
        <f t="shared" si="0"/>
        <v>0</v>
      </c>
      <c r="S15" s="552">
        <f t="shared" si="1"/>
        <v>0</v>
      </c>
      <c r="T15" s="552">
        <f t="shared" si="6"/>
        <v>0</v>
      </c>
      <c r="U15" s="552">
        <f t="shared" si="7"/>
        <v>0</v>
      </c>
      <c r="V15" s="552">
        <f t="shared" si="8"/>
        <v>0</v>
      </c>
      <c r="W15" s="2" t="b">
        <f t="shared" si="2"/>
        <v>1</v>
      </c>
      <c r="Y15" s="585"/>
      <c r="Z15" s="583">
        <v>1</v>
      </c>
      <c r="AA15" s="583">
        <f t="shared" si="3"/>
        <v>5</v>
      </c>
      <c r="AB15" s="583">
        <v>1</v>
      </c>
      <c r="AC15" s="583">
        <f t="shared" si="4"/>
        <v>5</v>
      </c>
      <c r="AD15" s="583">
        <v>0</v>
      </c>
      <c r="AE15" s="583"/>
      <c r="AF15" s="583"/>
      <c r="AG15" s="583"/>
      <c r="AH15" s="689">
        <f t="shared" si="5"/>
        <v>2</v>
      </c>
    </row>
    <row r="16" spans="1:34" s="2" customFormat="1" ht="15.6" customHeight="1">
      <c r="A16" s="764" t="s">
        <v>401</v>
      </c>
      <c r="B16" s="758" t="s">
        <v>402</v>
      </c>
      <c r="C16" s="774">
        <v>8</v>
      </c>
      <c r="D16" s="20" t="s">
        <v>163</v>
      </c>
      <c r="E16" s="483" t="s">
        <v>259</v>
      </c>
      <c r="F16" s="102" t="s">
        <v>486</v>
      </c>
      <c r="G16" s="5" t="s">
        <v>287</v>
      </c>
      <c r="H16" s="200">
        <v>1</v>
      </c>
      <c r="I16" s="5" t="s">
        <v>164</v>
      </c>
      <c r="J16" s="5" t="s">
        <v>165</v>
      </c>
      <c r="K16" s="5"/>
      <c r="L16" s="49" t="s">
        <v>164</v>
      </c>
      <c r="M16" s="461" t="s">
        <v>164</v>
      </c>
      <c r="N16" s="240" t="s">
        <v>164</v>
      </c>
      <c r="O16" s="290">
        <f>IF((N16=M16)=TRUE,0,1)</f>
        <v>0</v>
      </c>
      <c r="P16" s="761">
        <v>1</v>
      </c>
      <c r="Q16" s="761">
        <v>1</v>
      </c>
      <c r="R16" s="512">
        <f t="shared" si="0"/>
        <v>0</v>
      </c>
      <c r="S16" s="552">
        <f t="shared" si="1"/>
        <v>0</v>
      </c>
      <c r="T16" s="552">
        <f t="shared" si="6"/>
        <v>0</v>
      </c>
      <c r="U16" s="552">
        <f t="shared" si="7"/>
        <v>0</v>
      </c>
      <c r="V16" s="552">
        <f t="shared" si="8"/>
        <v>0</v>
      </c>
      <c r="W16" s="2" t="b">
        <f t="shared" si="2"/>
        <v>1</v>
      </c>
      <c r="Y16" s="585"/>
      <c r="Z16" s="583">
        <v>0</v>
      </c>
      <c r="AA16" s="583">
        <f t="shared" si="3"/>
        <v>1</v>
      </c>
      <c r="AB16" s="583">
        <v>1</v>
      </c>
      <c r="AC16" s="583">
        <f t="shared" si="4"/>
        <v>1</v>
      </c>
      <c r="AD16" s="583">
        <v>0</v>
      </c>
      <c r="AE16" s="583"/>
      <c r="AF16" s="583"/>
      <c r="AG16" s="583"/>
      <c r="AH16" s="689">
        <f t="shared" si="5"/>
        <v>1</v>
      </c>
    </row>
    <row r="17" spans="1:34" s="2" customFormat="1" ht="15.6" customHeight="1">
      <c r="A17" s="764" t="s">
        <v>403</v>
      </c>
      <c r="B17" s="758" t="s">
        <v>404</v>
      </c>
      <c r="C17" s="774">
        <v>9</v>
      </c>
      <c r="D17" s="20" t="s">
        <v>166</v>
      </c>
      <c r="E17" s="483" t="s">
        <v>259</v>
      </c>
      <c r="F17" s="390" t="s">
        <v>558</v>
      </c>
      <c r="G17" s="5" t="s">
        <v>287</v>
      </c>
      <c r="H17" s="200">
        <v>4</v>
      </c>
      <c r="I17" s="5"/>
      <c r="J17" s="5"/>
      <c r="K17" s="5"/>
      <c r="L17" s="452"/>
      <c r="M17" s="450">
        <v>0</v>
      </c>
      <c r="N17" s="387">
        <v>0</v>
      </c>
      <c r="O17" s="290">
        <f>IF(AND(M17=0,N17&lt;&gt;0),1,IF(AND(M17=0,N17=0),0,N17/M17-1))</f>
        <v>0</v>
      </c>
      <c r="P17" s="761">
        <f>IF(N17&lt;=2,4,0)</f>
        <v>4</v>
      </c>
      <c r="Q17" s="761">
        <f>IF(M17&lt;=2,4,0)</f>
        <v>4</v>
      </c>
      <c r="R17" s="512">
        <f t="shared" si="0"/>
        <v>0</v>
      </c>
      <c r="S17" s="552">
        <f t="shared" si="1"/>
        <v>0</v>
      </c>
      <c r="T17" s="552">
        <f t="shared" si="6"/>
        <v>0</v>
      </c>
      <c r="U17" s="552">
        <f t="shared" si="7"/>
        <v>0</v>
      </c>
      <c r="V17" s="552">
        <f t="shared" si="8"/>
        <v>0</v>
      </c>
      <c r="W17" s="2" t="b">
        <f t="shared" si="2"/>
        <v>1</v>
      </c>
      <c r="Y17" s="585"/>
      <c r="Z17" s="583">
        <v>0</v>
      </c>
      <c r="AA17" s="583">
        <f t="shared" si="3"/>
        <v>4</v>
      </c>
      <c r="AB17" s="583">
        <v>1</v>
      </c>
      <c r="AC17" s="583">
        <f t="shared" si="4"/>
        <v>4</v>
      </c>
      <c r="AD17" s="583">
        <v>0</v>
      </c>
      <c r="AE17" s="583"/>
      <c r="AF17" s="583"/>
      <c r="AG17" s="583"/>
      <c r="AH17" s="689">
        <f t="shared" si="5"/>
        <v>1</v>
      </c>
    </row>
    <row r="18" spans="1:34" s="2" customFormat="1" ht="15.6" customHeight="1">
      <c r="A18" s="764" t="s">
        <v>405</v>
      </c>
      <c r="B18" s="758" t="s">
        <v>406</v>
      </c>
      <c r="C18" s="774">
        <v>10</v>
      </c>
      <c r="D18" s="20" t="s">
        <v>167</v>
      </c>
      <c r="E18" s="483" t="s">
        <v>259</v>
      </c>
      <c r="F18" s="393" t="s">
        <v>486</v>
      </c>
      <c r="G18" s="5" t="s">
        <v>287</v>
      </c>
      <c r="H18" s="200">
        <v>1</v>
      </c>
      <c r="I18" s="5" t="s">
        <v>168</v>
      </c>
      <c r="J18" s="5" t="s">
        <v>169</v>
      </c>
      <c r="K18" s="5"/>
      <c r="L18" s="49" t="s">
        <v>168</v>
      </c>
      <c r="M18" s="450" t="s">
        <v>168</v>
      </c>
      <c r="N18" s="57" t="s">
        <v>168</v>
      </c>
      <c r="O18" s="290">
        <f>IF((N18=M18)=TRUE,0,1)</f>
        <v>0</v>
      </c>
      <c r="P18" s="761">
        <v>1</v>
      </c>
      <c r="Q18" s="761">
        <v>1</v>
      </c>
      <c r="R18" s="512">
        <f t="shared" si="0"/>
        <v>0</v>
      </c>
      <c r="S18" s="552">
        <f t="shared" si="1"/>
        <v>0</v>
      </c>
      <c r="T18" s="552">
        <f t="shared" si="6"/>
        <v>0</v>
      </c>
      <c r="U18" s="552">
        <f t="shared" si="7"/>
        <v>0</v>
      </c>
      <c r="V18" s="552">
        <f t="shared" si="8"/>
        <v>0</v>
      </c>
      <c r="W18" s="2" t="b">
        <f t="shared" si="2"/>
        <v>1</v>
      </c>
      <c r="Y18" s="585"/>
      <c r="Z18" s="583">
        <v>1</v>
      </c>
      <c r="AA18" s="583">
        <f t="shared" si="3"/>
        <v>1</v>
      </c>
      <c r="AB18" s="583">
        <v>0</v>
      </c>
      <c r="AC18" s="583">
        <f t="shared" si="4"/>
        <v>1</v>
      </c>
      <c r="AD18" s="583">
        <v>0</v>
      </c>
      <c r="AE18" s="583"/>
      <c r="AF18" s="583"/>
      <c r="AG18" s="583"/>
      <c r="AH18" s="689">
        <f t="shared" si="5"/>
        <v>1</v>
      </c>
    </row>
    <row r="19" spans="1:34" s="2" customFormat="1" ht="15.6" customHeight="1">
      <c r="A19" s="764" t="s">
        <v>407</v>
      </c>
      <c r="B19" s="758" t="s">
        <v>408</v>
      </c>
      <c r="C19" s="774">
        <v>11</v>
      </c>
      <c r="D19" s="20" t="s">
        <v>170</v>
      </c>
      <c r="E19" s="483" t="s">
        <v>259</v>
      </c>
      <c r="F19" s="102" t="s">
        <v>489</v>
      </c>
      <c r="G19" s="5" t="s">
        <v>287</v>
      </c>
      <c r="H19" s="200">
        <v>5</v>
      </c>
      <c r="I19" s="5"/>
      <c r="J19" s="5"/>
      <c r="K19" s="5"/>
      <c r="L19" s="48" t="s">
        <v>738</v>
      </c>
      <c r="M19" s="450">
        <v>0</v>
      </c>
      <c r="N19" s="57">
        <v>0</v>
      </c>
      <c r="O19" s="290">
        <f>IF(AND(M19=0,N19&lt;&gt;0),1,IF(AND(M19=0,N19=0),0,N19/M19-1))</f>
        <v>0</v>
      </c>
      <c r="P19" s="761">
        <v>5</v>
      </c>
      <c r="Q19" s="761">
        <v>5</v>
      </c>
      <c r="R19" s="512">
        <f t="shared" si="0"/>
        <v>0</v>
      </c>
      <c r="S19" s="552">
        <f t="shared" si="1"/>
        <v>0</v>
      </c>
      <c r="T19" s="552">
        <f t="shared" si="6"/>
        <v>0</v>
      </c>
      <c r="U19" s="552">
        <f t="shared" si="7"/>
        <v>0</v>
      </c>
      <c r="V19" s="552">
        <f t="shared" si="8"/>
        <v>0</v>
      </c>
      <c r="W19" s="2" t="b">
        <f t="shared" si="2"/>
        <v>1</v>
      </c>
      <c r="Y19" s="585"/>
      <c r="Z19" s="583">
        <v>1</v>
      </c>
      <c r="AA19" s="583">
        <f t="shared" si="3"/>
        <v>5</v>
      </c>
      <c r="AB19" s="583">
        <v>0</v>
      </c>
      <c r="AC19" s="583">
        <f t="shared" si="4"/>
        <v>5</v>
      </c>
      <c r="AD19" s="583">
        <v>0</v>
      </c>
      <c r="AE19" s="583"/>
      <c r="AF19" s="583"/>
      <c r="AG19" s="583"/>
      <c r="AH19" s="689">
        <f t="shared" si="5"/>
        <v>1</v>
      </c>
    </row>
    <row r="20" spans="1:34" s="2" customFormat="1" ht="15.6" customHeight="1">
      <c r="A20" s="764" t="s">
        <v>409</v>
      </c>
      <c r="B20" s="758" t="s">
        <v>408</v>
      </c>
      <c r="C20" s="774">
        <v>12</v>
      </c>
      <c r="D20" s="20" t="s">
        <v>171</v>
      </c>
      <c r="E20" s="484" t="s">
        <v>259</v>
      </c>
      <c r="F20" s="102" t="s">
        <v>489</v>
      </c>
      <c r="G20" s="5" t="s">
        <v>287</v>
      </c>
      <c r="H20" s="200">
        <v>5</v>
      </c>
      <c r="I20" s="5"/>
      <c r="J20" s="5"/>
      <c r="K20" s="5"/>
      <c r="L20" s="453"/>
      <c r="M20" s="450">
        <v>0</v>
      </c>
      <c r="N20" s="57">
        <v>0</v>
      </c>
      <c r="O20" s="290">
        <f>IF(AND(M20=0,N20&lt;&gt;0),1,IF(AND(M20=0,N20=0),0,N20/M20-1))</f>
        <v>0</v>
      </c>
      <c r="P20" s="761">
        <v>5</v>
      </c>
      <c r="Q20" s="761">
        <v>5</v>
      </c>
      <c r="R20" s="512">
        <f t="shared" si="0"/>
        <v>0</v>
      </c>
      <c r="S20" s="552">
        <f t="shared" si="1"/>
        <v>0</v>
      </c>
      <c r="T20" s="552">
        <f t="shared" si="6"/>
        <v>0</v>
      </c>
      <c r="U20" s="552">
        <f t="shared" si="7"/>
        <v>0</v>
      </c>
      <c r="V20" s="552">
        <f t="shared" si="8"/>
        <v>0</v>
      </c>
      <c r="W20" s="2" t="b">
        <f t="shared" si="2"/>
        <v>1</v>
      </c>
      <c r="Y20" s="585"/>
      <c r="Z20" s="583">
        <v>0</v>
      </c>
      <c r="AA20" s="583">
        <f t="shared" si="3"/>
        <v>5</v>
      </c>
      <c r="AB20" s="583">
        <v>1</v>
      </c>
      <c r="AC20" s="583">
        <f t="shared" si="4"/>
        <v>5</v>
      </c>
      <c r="AD20" s="583">
        <v>0</v>
      </c>
      <c r="AE20" s="583"/>
      <c r="AF20" s="583"/>
      <c r="AG20" s="583"/>
      <c r="AH20" s="689">
        <f t="shared" si="5"/>
        <v>1</v>
      </c>
    </row>
    <row r="21" spans="1:34" s="2" customFormat="1" ht="15.6" customHeight="1">
      <c r="A21" s="764" t="s">
        <v>410</v>
      </c>
      <c r="B21" s="758" t="s">
        <v>411</v>
      </c>
      <c r="C21" s="774">
        <v>13</v>
      </c>
      <c r="D21" s="20" t="s">
        <v>240</v>
      </c>
      <c r="E21" s="483" t="s">
        <v>259</v>
      </c>
      <c r="F21" s="102" t="s">
        <v>486</v>
      </c>
      <c r="G21" s="5" t="s">
        <v>287</v>
      </c>
      <c r="H21" s="200">
        <v>1</v>
      </c>
      <c r="I21" s="165" t="s">
        <v>168</v>
      </c>
      <c r="J21" s="5" t="s">
        <v>169</v>
      </c>
      <c r="K21" s="5"/>
      <c r="L21" s="49" t="s">
        <v>168</v>
      </c>
      <c r="M21" s="462" t="s">
        <v>168</v>
      </c>
      <c r="N21" s="40" t="s">
        <v>168</v>
      </c>
      <c r="O21" s="290">
        <f>IF((N21=M21)=TRUE,0,1)</f>
        <v>0</v>
      </c>
      <c r="P21" s="761">
        <v>1</v>
      </c>
      <c r="Q21" s="761">
        <v>1</v>
      </c>
      <c r="R21" s="512">
        <f t="shared" si="0"/>
        <v>0</v>
      </c>
      <c r="S21" s="552">
        <f t="shared" si="1"/>
        <v>0</v>
      </c>
      <c r="T21" s="552">
        <f t="shared" si="6"/>
        <v>0</v>
      </c>
      <c r="U21" s="552">
        <f t="shared" si="7"/>
        <v>0</v>
      </c>
      <c r="V21" s="552">
        <f t="shared" si="8"/>
        <v>0</v>
      </c>
      <c r="W21" s="2" t="b">
        <f t="shared" si="2"/>
        <v>1</v>
      </c>
      <c r="Y21" s="585"/>
      <c r="Z21" s="583">
        <v>1</v>
      </c>
      <c r="AA21" s="583">
        <f t="shared" si="3"/>
        <v>1</v>
      </c>
      <c r="AB21" s="583">
        <v>0</v>
      </c>
      <c r="AC21" s="583">
        <f t="shared" si="4"/>
        <v>1</v>
      </c>
      <c r="AD21" s="583">
        <v>0</v>
      </c>
      <c r="AE21" s="583"/>
      <c r="AF21" s="583"/>
      <c r="AG21" s="583"/>
      <c r="AH21" s="689">
        <f t="shared" si="5"/>
        <v>1</v>
      </c>
    </row>
    <row r="22" spans="1:34" s="2" customFormat="1" ht="15.6" customHeight="1">
      <c r="A22" s="764" t="s">
        <v>412</v>
      </c>
      <c r="B22" s="758" t="s">
        <v>411</v>
      </c>
      <c r="C22" s="774">
        <v>14</v>
      </c>
      <c r="D22" s="20" t="s">
        <v>172</v>
      </c>
      <c r="E22" s="483" t="s">
        <v>259</v>
      </c>
      <c r="F22" s="102" t="s">
        <v>486</v>
      </c>
      <c r="G22" s="5" t="s">
        <v>287</v>
      </c>
      <c r="H22" s="200">
        <v>1</v>
      </c>
      <c r="I22" s="165" t="s">
        <v>168</v>
      </c>
      <c r="J22" s="5" t="s">
        <v>169</v>
      </c>
      <c r="K22" s="5"/>
      <c r="L22" s="49" t="s">
        <v>168</v>
      </c>
      <c r="M22" s="462" t="s">
        <v>168</v>
      </c>
      <c r="N22" s="40" t="s">
        <v>168</v>
      </c>
      <c r="O22" s="290">
        <f>IF((N22=M22)=TRUE,0,1)</f>
        <v>0</v>
      </c>
      <c r="P22" s="761">
        <v>1</v>
      </c>
      <c r="Q22" s="761">
        <v>1</v>
      </c>
      <c r="R22" s="512">
        <f t="shared" si="0"/>
        <v>0</v>
      </c>
      <c r="S22" s="552">
        <f t="shared" si="1"/>
        <v>0</v>
      </c>
      <c r="T22" s="552">
        <f t="shared" si="6"/>
        <v>0</v>
      </c>
      <c r="U22" s="552">
        <f t="shared" si="7"/>
        <v>0</v>
      </c>
      <c r="V22" s="552">
        <f t="shared" si="8"/>
        <v>0</v>
      </c>
      <c r="W22" s="2" t="b">
        <f t="shared" si="2"/>
        <v>1</v>
      </c>
      <c r="Y22" s="585"/>
      <c r="Z22" s="583">
        <v>1</v>
      </c>
      <c r="AA22" s="583">
        <f t="shared" si="3"/>
        <v>1</v>
      </c>
      <c r="AB22" s="583">
        <v>0</v>
      </c>
      <c r="AC22" s="583">
        <f t="shared" si="4"/>
        <v>1</v>
      </c>
      <c r="AD22" s="583">
        <v>0</v>
      </c>
      <c r="AE22" s="583"/>
      <c r="AF22" s="583"/>
      <c r="AG22" s="583"/>
      <c r="AH22" s="689">
        <f t="shared" si="5"/>
        <v>1</v>
      </c>
    </row>
    <row r="23" spans="1:34" s="2" customFormat="1" ht="15.6" customHeight="1">
      <c r="A23" s="764" t="s">
        <v>413</v>
      </c>
      <c r="B23" s="758" t="s">
        <v>1787</v>
      </c>
      <c r="C23" s="774">
        <v>15</v>
      </c>
      <c r="D23" s="990" t="s">
        <v>2094</v>
      </c>
      <c r="E23" s="483" t="s">
        <v>259</v>
      </c>
      <c r="F23" s="391" t="s">
        <v>490</v>
      </c>
      <c r="G23" s="5" t="s">
        <v>287</v>
      </c>
      <c r="H23" s="200">
        <v>4</v>
      </c>
      <c r="I23" s="165"/>
      <c r="J23" s="5"/>
      <c r="K23" s="5"/>
      <c r="L23" s="452"/>
      <c r="M23" s="40">
        <v>1</v>
      </c>
      <c r="N23" s="40">
        <v>1</v>
      </c>
      <c r="O23" s="290">
        <f>IF(AND(M23=0,N23&lt;&gt;0),1,IF(AND(M23=0,N23=0),0,N23/M23-1))</f>
        <v>0</v>
      </c>
      <c r="P23" s="761">
        <f>IF(N23&gt;3,0,IF(N23=0,4,2))</f>
        <v>2</v>
      </c>
      <c r="Q23" s="761">
        <f>IF(M23&gt;3,0,IF(M23=0,4,2))</f>
        <v>2</v>
      </c>
      <c r="R23" s="1039">
        <f t="shared" si="0"/>
        <v>0</v>
      </c>
      <c r="S23" s="552">
        <f t="shared" si="1"/>
        <v>2</v>
      </c>
      <c r="T23" s="552">
        <f t="shared" si="6"/>
        <v>1.2</v>
      </c>
      <c r="U23" s="552">
        <f t="shared" si="7"/>
        <v>0.13333333333333333</v>
      </c>
      <c r="V23" s="552">
        <f t="shared" si="8"/>
        <v>6.6666666666666666E-2</v>
      </c>
      <c r="W23" s="2" t="b">
        <f t="shared" si="2"/>
        <v>1</v>
      </c>
      <c r="Y23" s="585"/>
      <c r="Z23" s="583">
        <v>1</v>
      </c>
      <c r="AA23" s="583">
        <f t="shared" si="3"/>
        <v>2</v>
      </c>
      <c r="AB23" s="583">
        <v>0</v>
      </c>
      <c r="AC23" s="583">
        <f t="shared" si="4"/>
        <v>2</v>
      </c>
      <c r="AD23" s="583">
        <v>0</v>
      </c>
      <c r="AE23" s="583"/>
      <c r="AF23" s="583"/>
      <c r="AG23" s="583"/>
      <c r="AH23" s="689">
        <f t="shared" si="5"/>
        <v>1</v>
      </c>
    </row>
    <row r="24" spans="1:34" s="2" customFormat="1" ht="15.6" customHeight="1">
      <c r="A24" s="764" t="s">
        <v>414</v>
      </c>
      <c r="B24" s="758" t="s">
        <v>415</v>
      </c>
      <c r="C24" s="774">
        <v>16</v>
      </c>
      <c r="D24" s="20" t="s">
        <v>241</v>
      </c>
      <c r="E24" s="483" t="s">
        <v>259</v>
      </c>
      <c r="F24" s="102" t="s">
        <v>486</v>
      </c>
      <c r="G24" s="5" t="s">
        <v>287</v>
      </c>
      <c r="H24" s="200">
        <v>1</v>
      </c>
      <c r="I24" s="165" t="s">
        <v>173</v>
      </c>
      <c r="J24" s="5" t="s">
        <v>174</v>
      </c>
      <c r="K24" s="5"/>
      <c r="L24" s="49"/>
      <c r="M24" s="463" t="s">
        <v>173</v>
      </c>
      <c r="N24" s="61" t="s">
        <v>173</v>
      </c>
      <c r="O24" s="290">
        <f>IF((N24=M24)=TRUE,0,1)</f>
        <v>0</v>
      </c>
      <c r="P24" s="761">
        <v>1</v>
      </c>
      <c r="Q24" s="761">
        <v>1</v>
      </c>
      <c r="R24" s="512">
        <f t="shared" si="0"/>
        <v>0</v>
      </c>
      <c r="S24" s="552">
        <f t="shared" si="1"/>
        <v>0</v>
      </c>
      <c r="T24" s="552">
        <f t="shared" si="6"/>
        <v>0</v>
      </c>
      <c r="U24" s="552">
        <f t="shared" si="7"/>
        <v>0</v>
      </c>
      <c r="V24" s="552">
        <f t="shared" si="8"/>
        <v>0</v>
      </c>
      <c r="W24" s="2" t="b">
        <f t="shared" si="2"/>
        <v>1</v>
      </c>
      <c r="Y24" s="585"/>
      <c r="Z24" s="583">
        <v>1</v>
      </c>
      <c r="AA24" s="583">
        <f t="shared" si="3"/>
        <v>1</v>
      </c>
      <c r="AB24" s="583">
        <v>0</v>
      </c>
      <c r="AC24" s="583">
        <f t="shared" si="4"/>
        <v>1</v>
      </c>
      <c r="AD24" s="583">
        <v>0</v>
      </c>
      <c r="AE24" s="583"/>
      <c r="AF24" s="583"/>
      <c r="AG24" s="583"/>
      <c r="AH24" s="689">
        <f t="shared" si="5"/>
        <v>1</v>
      </c>
    </row>
    <row r="25" spans="1:34" s="2" customFormat="1" ht="16.5" customHeight="1">
      <c r="A25" s="764" t="s">
        <v>416</v>
      </c>
      <c r="B25" s="758" t="s">
        <v>417</v>
      </c>
      <c r="C25" s="774">
        <v>17</v>
      </c>
      <c r="D25" s="1037" t="s">
        <v>2101</v>
      </c>
      <c r="E25" s="485"/>
      <c r="F25" s="391" t="s">
        <v>490</v>
      </c>
      <c r="G25" s="5" t="s">
        <v>287</v>
      </c>
      <c r="H25" s="200">
        <v>3</v>
      </c>
      <c r="I25" s="165"/>
      <c r="J25" s="5"/>
      <c r="K25" s="5"/>
      <c r="L25" s="452"/>
      <c r="M25" s="464">
        <f>M26/M27</f>
        <v>1.5376351305982677E-2</v>
      </c>
      <c r="N25" s="166">
        <f>N26/N27</f>
        <v>2.2696159665681965E-2</v>
      </c>
      <c r="O25" s="290">
        <f>IF(AND(M25=0,N25&lt;&gt;0),1,IF(AND(M25=0,N25=0),0,N25/M25-1))</f>
        <v>0.4760432572096136</v>
      </c>
      <c r="P25" s="761">
        <f>IF(N25&lt;0.001,3,0)</f>
        <v>0</v>
      </c>
      <c r="Q25" s="761">
        <f>IF(M25&lt;0.001,3,0)</f>
        <v>0</v>
      </c>
      <c r="R25" s="1039">
        <f t="shared" si="0"/>
        <v>0</v>
      </c>
      <c r="S25" s="552">
        <f t="shared" si="1"/>
        <v>3</v>
      </c>
      <c r="T25" s="552">
        <f t="shared" si="6"/>
        <v>1.7999999999999998</v>
      </c>
      <c r="U25" s="552">
        <f t="shared" si="7"/>
        <v>0.19999999999999998</v>
      </c>
      <c r="V25" s="552">
        <f t="shared" si="8"/>
        <v>9.9999999999999992E-2</v>
      </c>
      <c r="W25" s="2" t="b">
        <f t="shared" si="2"/>
        <v>1</v>
      </c>
      <c r="Y25" s="585"/>
      <c r="Z25" s="583">
        <v>1</v>
      </c>
      <c r="AA25" s="583">
        <f t="shared" si="3"/>
        <v>0</v>
      </c>
      <c r="AB25" s="583">
        <v>0</v>
      </c>
      <c r="AC25" s="583">
        <f t="shared" si="4"/>
        <v>0</v>
      </c>
      <c r="AD25" s="689">
        <f>SUM(Y25:AB25)</f>
        <v>1</v>
      </c>
      <c r="AE25" s="583">
        <f t="shared" ref="AE25" si="10">$P25</f>
        <v>0</v>
      </c>
      <c r="AF25" s="583"/>
      <c r="AG25" s="583"/>
      <c r="AH25" s="689">
        <f t="shared" si="5"/>
        <v>2</v>
      </c>
    </row>
    <row r="26" spans="1:34" s="2" customFormat="1" ht="15.6" customHeight="1">
      <c r="A26" s="764"/>
      <c r="B26" s="758"/>
      <c r="C26" s="776">
        <v>17.100000000000001</v>
      </c>
      <c r="D26" s="17" t="s">
        <v>175</v>
      </c>
      <c r="E26" s="483" t="s">
        <v>259</v>
      </c>
      <c r="F26" s="104"/>
      <c r="G26" s="5"/>
      <c r="H26" s="51"/>
      <c r="I26" s="165"/>
      <c r="J26" s="5"/>
      <c r="K26" s="5"/>
      <c r="L26" s="48" t="s">
        <v>739</v>
      </c>
      <c r="M26" s="40">
        <v>687</v>
      </c>
      <c r="N26" s="40">
        <v>630</v>
      </c>
      <c r="O26" s="290">
        <f>IF(AND(M26=0,N26&lt;&gt;0),1,IF(AND(M26=0,N26=0),0,N26/M26-1))</f>
        <v>-8.2969432314410452E-2</v>
      </c>
      <c r="P26" s="761"/>
      <c r="Q26" s="761"/>
      <c r="R26" s="512">
        <f t="shared" si="0"/>
        <v>0</v>
      </c>
      <c r="S26" s="552">
        <f t="shared" si="1"/>
        <v>0</v>
      </c>
      <c r="T26" s="552">
        <f t="shared" si="6"/>
        <v>0</v>
      </c>
      <c r="U26" s="552">
        <f t="shared" si="7"/>
        <v>0</v>
      </c>
      <c r="V26" s="552">
        <f t="shared" si="8"/>
        <v>0</v>
      </c>
      <c r="W26" s="2" t="b">
        <f t="shared" si="2"/>
        <v>1</v>
      </c>
      <c r="Y26" s="585"/>
      <c r="Z26" s="583"/>
      <c r="AA26" s="583">
        <f t="shared" si="3"/>
        <v>0</v>
      </c>
      <c r="AB26" s="583"/>
      <c r="AC26" s="583">
        <f t="shared" si="4"/>
        <v>0</v>
      </c>
      <c r="AD26" s="583"/>
      <c r="AE26" s="583"/>
      <c r="AF26" s="583"/>
      <c r="AG26" s="583"/>
      <c r="AH26" s="689">
        <f t="shared" si="5"/>
        <v>0</v>
      </c>
    </row>
    <row r="27" spans="1:34" s="2" customFormat="1" ht="15.6" customHeight="1">
      <c r="A27" s="764"/>
      <c r="B27" s="758"/>
      <c r="C27" s="776">
        <v>17.2</v>
      </c>
      <c r="D27" s="17" t="s">
        <v>2095</v>
      </c>
      <c r="E27" s="483" t="s">
        <v>259</v>
      </c>
      <c r="F27" s="105"/>
      <c r="G27" s="5"/>
      <c r="H27" s="63"/>
      <c r="I27" s="165"/>
      <c r="J27" s="5"/>
      <c r="K27" s="5"/>
      <c r="L27" s="48" t="s">
        <v>739</v>
      </c>
      <c r="M27" s="232">
        <v>44679</v>
      </c>
      <c r="N27" s="232">
        <v>27758</v>
      </c>
      <c r="O27" s="290">
        <f>IF(AND(M27=0,N27&lt;&gt;0),1,IF(AND(M27=0,N27=0),0,N27/M27-1))</f>
        <v>-0.37872378522348304</v>
      </c>
      <c r="P27" s="761"/>
      <c r="Q27" s="761"/>
      <c r="R27" s="512">
        <f t="shared" si="0"/>
        <v>0</v>
      </c>
      <c r="S27" s="552">
        <f t="shared" si="1"/>
        <v>0</v>
      </c>
      <c r="T27" s="552">
        <f t="shared" si="6"/>
        <v>0</v>
      </c>
      <c r="U27" s="552">
        <f t="shared" si="7"/>
        <v>0</v>
      </c>
      <c r="V27" s="552">
        <f t="shared" si="8"/>
        <v>0</v>
      </c>
      <c r="W27" s="2" t="b">
        <f t="shared" si="2"/>
        <v>1</v>
      </c>
      <c r="Y27" s="585"/>
      <c r="Z27" s="583"/>
      <c r="AA27" s="583">
        <f t="shared" si="3"/>
        <v>0</v>
      </c>
      <c r="AB27" s="583"/>
      <c r="AC27" s="583">
        <f t="shared" si="4"/>
        <v>0</v>
      </c>
      <c r="AD27" s="583"/>
      <c r="AE27" s="583"/>
      <c r="AF27" s="583"/>
      <c r="AG27" s="583"/>
      <c r="AH27" s="689">
        <f t="shared" si="5"/>
        <v>0</v>
      </c>
    </row>
    <row r="28" spans="1:34" s="2" customFormat="1" ht="15.6" customHeight="1">
      <c r="A28" s="764" t="s">
        <v>418</v>
      </c>
      <c r="B28" s="758" t="s">
        <v>419</v>
      </c>
      <c r="C28" s="774">
        <v>18</v>
      </c>
      <c r="D28" s="20" t="s">
        <v>242</v>
      </c>
      <c r="E28" s="483" t="s">
        <v>259</v>
      </c>
      <c r="F28" s="102" t="s">
        <v>486</v>
      </c>
      <c r="G28" s="5" t="s">
        <v>287</v>
      </c>
      <c r="H28" s="200">
        <v>1</v>
      </c>
      <c r="I28" s="165" t="s">
        <v>177</v>
      </c>
      <c r="J28" s="5" t="s">
        <v>178</v>
      </c>
      <c r="K28" s="5"/>
      <c r="L28" s="49"/>
      <c r="M28" s="463" t="s">
        <v>177</v>
      </c>
      <c r="N28" s="61" t="s">
        <v>177</v>
      </c>
      <c r="O28" s="290">
        <f>IF((N28=M28)=TRUE,0,1)</f>
        <v>0</v>
      </c>
      <c r="P28" s="761">
        <v>1</v>
      </c>
      <c r="Q28" s="761">
        <v>1</v>
      </c>
      <c r="R28" s="512">
        <f t="shared" si="0"/>
        <v>0</v>
      </c>
      <c r="S28" s="552">
        <f t="shared" si="1"/>
        <v>0</v>
      </c>
      <c r="T28" s="552">
        <f t="shared" si="6"/>
        <v>0</v>
      </c>
      <c r="U28" s="552">
        <f t="shared" si="7"/>
        <v>0</v>
      </c>
      <c r="V28" s="552">
        <f t="shared" si="8"/>
        <v>0</v>
      </c>
      <c r="W28" s="2" t="b">
        <f t="shared" si="2"/>
        <v>1</v>
      </c>
      <c r="Y28" s="585"/>
      <c r="Z28" s="583">
        <v>0</v>
      </c>
      <c r="AA28" s="583">
        <f t="shared" si="3"/>
        <v>1</v>
      </c>
      <c r="AB28" s="583">
        <v>1</v>
      </c>
      <c r="AC28" s="583">
        <f t="shared" si="4"/>
        <v>1</v>
      </c>
      <c r="AD28" s="583">
        <v>0</v>
      </c>
      <c r="AE28" s="583"/>
      <c r="AF28" s="583"/>
      <c r="AG28" s="583"/>
      <c r="AH28" s="689">
        <f t="shared" si="5"/>
        <v>1</v>
      </c>
    </row>
    <row r="29" spans="1:34" s="2" customFormat="1" ht="15.6" customHeight="1">
      <c r="A29" s="764" t="s">
        <v>420</v>
      </c>
      <c r="B29" s="758" t="s">
        <v>421</v>
      </c>
      <c r="C29" s="774">
        <v>19</v>
      </c>
      <c r="D29" s="20" t="s">
        <v>179</v>
      </c>
      <c r="E29" s="483" t="s">
        <v>259</v>
      </c>
      <c r="F29" s="103" t="s">
        <v>490</v>
      </c>
      <c r="G29" s="5" t="s">
        <v>287</v>
      </c>
      <c r="H29" s="200">
        <v>3</v>
      </c>
      <c r="I29" s="165"/>
      <c r="J29" s="5"/>
      <c r="K29" s="5"/>
      <c r="L29" s="452"/>
      <c r="M29" s="462">
        <v>0</v>
      </c>
      <c r="N29" s="40">
        <v>0</v>
      </c>
      <c r="O29" s="290">
        <f>IF(AND(M29=0,N29&lt;&gt;0),1,IF(AND(M29=0,N29=0),0,N29/M29-1))</f>
        <v>0</v>
      </c>
      <c r="P29" s="761">
        <f>IF(N29=0,3,IF(N29&gt;3,0,1))</f>
        <v>3</v>
      </c>
      <c r="Q29" s="761">
        <f>IF(M29=0,3,IF(M29&gt;3,0,1))</f>
        <v>3</v>
      </c>
      <c r="R29" s="512">
        <f t="shared" si="0"/>
        <v>0</v>
      </c>
      <c r="S29" s="552">
        <f t="shared" si="1"/>
        <v>0</v>
      </c>
      <c r="T29" s="552">
        <f t="shared" si="6"/>
        <v>0</v>
      </c>
      <c r="U29" s="552">
        <f t="shared" si="7"/>
        <v>0</v>
      </c>
      <c r="V29" s="552">
        <f t="shared" si="8"/>
        <v>0</v>
      </c>
      <c r="W29" s="2" t="b">
        <f t="shared" si="2"/>
        <v>1</v>
      </c>
      <c r="Y29" s="585"/>
      <c r="Z29" s="583">
        <v>0</v>
      </c>
      <c r="AA29" s="583">
        <f t="shared" si="3"/>
        <v>3</v>
      </c>
      <c r="AB29" s="583">
        <v>1</v>
      </c>
      <c r="AC29" s="583">
        <f t="shared" si="4"/>
        <v>3</v>
      </c>
      <c r="AD29" s="583">
        <v>0</v>
      </c>
      <c r="AE29" s="583"/>
      <c r="AF29" s="583"/>
      <c r="AG29" s="583"/>
      <c r="AH29" s="689">
        <f t="shared" si="5"/>
        <v>1</v>
      </c>
    </row>
    <row r="30" spans="1:34" s="2" customFormat="1" ht="15.6" customHeight="1">
      <c r="A30" s="764" t="s">
        <v>422</v>
      </c>
      <c r="B30" s="758" t="s">
        <v>423</v>
      </c>
      <c r="C30" s="774">
        <v>20</v>
      </c>
      <c r="D30" s="20" t="s">
        <v>180</v>
      </c>
      <c r="E30" s="483" t="s">
        <v>259</v>
      </c>
      <c r="F30" s="102" t="s">
        <v>486</v>
      </c>
      <c r="G30" s="5" t="s">
        <v>287</v>
      </c>
      <c r="H30" s="200">
        <v>1</v>
      </c>
      <c r="I30" s="5" t="s">
        <v>181</v>
      </c>
      <c r="J30" s="5" t="s">
        <v>182</v>
      </c>
      <c r="K30" s="5" t="s">
        <v>153</v>
      </c>
      <c r="L30" s="49"/>
      <c r="M30" s="461" t="s">
        <v>182</v>
      </c>
      <c r="N30" s="241" t="s">
        <v>182</v>
      </c>
      <c r="O30" s="290">
        <f>IF((N30=M30)=TRUE,0,1)</f>
        <v>0</v>
      </c>
      <c r="P30" s="761">
        <v>1</v>
      </c>
      <c r="Q30" s="761">
        <v>1</v>
      </c>
      <c r="R30" s="512">
        <f t="shared" si="0"/>
        <v>0</v>
      </c>
      <c r="S30" s="552">
        <f t="shared" si="1"/>
        <v>0</v>
      </c>
      <c r="T30" s="552">
        <f t="shared" si="6"/>
        <v>0</v>
      </c>
      <c r="U30" s="552">
        <f t="shared" si="7"/>
        <v>0</v>
      </c>
      <c r="V30" s="552">
        <f t="shared" si="8"/>
        <v>0</v>
      </c>
      <c r="W30" s="2" t="b">
        <f t="shared" si="2"/>
        <v>1</v>
      </c>
      <c r="Y30" s="585"/>
      <c r="Z30" s="583">
        <v>0</v>
      </c>
      <c r="AA30" s="583">
        <f t="shared" si="3"/>
        <v>1</v>
      </c>
      <c r="AB30" s="583">
        <v>1</v>
      </c>
      <c r="AC30" s="583">
        <f t="shared" si="4"/>
        <v>1</v>
      </c>
      <c r="AD30" s="583">
        <v>0</v>
      </c>
      <c r="AE30" s="583"/>
      <c r="AF30" s="583"/>
      <c r="AG30" s="583"/>
      <c r="AH30" s="689">
        <f t="shared" si="5"/>
        <v>1</v>
      </c>
    </row>
    <row r="31" spans="1:34" s="2" customFormat="1" ht="15.6" customHeight="1">
      <c r="A31" s="764" t="s">
        <v>424</v>
      </c>
      <c r="B31" s="758" t="s">
        <v>425</v>
      </c>
      <c r="C31" s="774">
        <v>21</v>
      </c>
      <c r="D31" s="20" t="s">
        <v>183</v>
      </c>
      <c r="E31" s="483" t="s">
        <v>259</v>
      </c>
      <c r="F31" s="103" t="s">
        <v>490</v>
      </c>
      <c r="G31" s="5" t="s">
        <v>287</v>
      </c>
      <c r="H31" s="200">
        <v>4</v>
      </c>
      <c r="I31" s="5"/>
      <c r="J31" s="5"/>
      <c r="K31" s="5"/>
      <c r="L31" s="452"/>
      <c r="M31" s="450">
        <v>0</v>
      </c>
      <c r="N31" s="57">
        <v>0</v>
      </c>
      <c r="O31" s="290">
        <f>IF(AND(M31=0,N31&lt;&gt;0),1,IF(AND(M31=0,N31=0),0,N31/M31-1))</f>
        <v>0</v>
      </c>
      <c r="P31" s="761">
        <f>IF(N31=0,4,IF(N31&gt;3,0,2))</f>
        <v>4</v>
      </c>
      <c r="Q31" s="761">
        <f>IF(M31=0,4,IF(M31&gt;3,0,2))</f>
        <v>4</v>
      </c>
      <c r="R31" s="512">
        <f t="shared" si="0"/>
        <v>0</v>
      </c>
      <c r="S31" s="552">
        <f t="shared" si="1"/>
        <v>0</v>
      </c>
      <c r="T31" s="552">
        <f t="shared" si="6"/>
        <v>0</v>
      </c>
      <c r="U31" s="552">
        <f t="shared" si="7"/>
        <v>0</v>
      </c>
      <c r="V31" s="552">
        <f t="shared" si="8"/>
        <v>0</v>
      </c>
      <c r="W31" s="2" t="b">
        <f t="shared" si="2"/>
        <v>1</v>
      </c>
      <c r="Y31" s="585"/>
      <c r="Z31" s="583">
        <v>0</v>
      </c>
      <c r="AA31" s="583">
        <f t="shared" si="3"/>
        <v>4</v>
      </c>
      <c r="AB31" s="583">
        <v>1</v>
      </c>
      <c r="AC31" s="583">
        <f t="shared" si="4"/>
        <v>4</v>
      </c>
      <c r="AD31" s="583">
        <v>0</v>
      </c>
      <c r="AE31" s="583"/>
      <c r="AF31" s="583"/>
      <c r="AG31" s="583"/>
      <c r="AH31" s="689">
        <f t="shared" si="5"/>
        <v>1</v>
      </c>
    </row>
    <row r="32" spans="1:34" s="2" customFormat="1" ht="15.6" customHeight="1">
      <c r="A32" s="764" t="s">
        <v>426</v>
      </c>
      <c r="B32" s="758" t="s">
        <v>427</v>
      </c>
      <c r="C32" s="774">
        <v>22</v>
      </c>
      <c r="D32" s="20" t="s">
        <v>184</v>
      </c>
      <c r="E32" s="483" t="s">
        <v>259</v>
      </c>
      <c r="F32" s="102" t="s">
        <v>486</v>
      </c>
      <c r="G32" s="5" t="s">
        <v>287</v>
      </c>
      <c r="H32" s="200">
        <v>2</v>
      </c>
      <c r="I32" s="5" t="s">
        <v>185</v>
      </c>
      <c r="J32" s="5" t="s">
        <v>186</v>
      </c>
      <c r="K32" s="5"/>
      <c r="L32" s="49"/>
      <c r="M32" s="461" t="s">
        <v>185</v>
      </c>
      <c r="N32" s="240" t="s">
        <v>185</v>
      </c>
      <c r="O32" s="290">
        <f>IF((N32=M32)=TRUE,0,1)</f>
        <v>0</v>
      </c>
      <c r="P32" s="761">
        <v>2</v>
      </c>
      <c r="Q32" s="761">
        <v>2</v>
      </c>
      <c r="R32" s="512">
        <f t="shared" si="0"/>
        <v>0</v>
      </c>
      <c r="S32" s="552">
        <f t="shared" si="1"/>
        <v>0</v>
      </c>
      <c r="T32" s="552">
        <f t="shared" si="6"/>
        <v>0</v>
      </c>
      <c r="U32" s="552">
        <f t="shared" si="7"/>
        <v>0</v>
      </c>
      <c r="V32" s="552">
        <f t="shared" si="8"/>
        <v>0</v>
      </c>
      <c r="W32" s="2" t="b">
        <f t="shared" si="2"/>
        <v>1</v>
      </c>
      <c r="Y32" s="585"/>
      <c r="Z32" s="583">
        <v>0</v>
      </c>
      <c r="AA32" s="583">
        <f t="shared" si="3"/>
        <v>2</v>
      </c>
      <c r="AB32" s="583">
        <v>1</v>
      </c>
      <c r="AC32" s="583">
        <f t="shared" si="4"/>
        <v>2</v>
      </c>
      <c r="AD32" s="583">
        <v>0</v>
      </c>
      <c r="AE32" s="583"/>
      <c r="AF32" s="583"/>
      <c r="AG32" s="583"/>
      <c r="AH32" s="689">
        <f t="shared" si="5"/>
        <v>1</v>
      </c>
    </row>
    <row r="33" spans="1:35" s="2" customFormat="1" ht="54">
      <c r="A33" s="764" t="s">
        <v>428</v>
      </c>
      <c r="B33" s="758" t="s">
        <v>429</v>
      </c>
      <c r="C33" s="774">
        <v>23</v>
      </c>
      <c r="D33" s="20" t="s">
        <v>141</v>
      </c>
      <c r="E33" s="483" t="s">
        <v>259</v>
      </c>
      <c r="F33" s="103" t="s">
        <v>490</v>
      </c>
      <c r="G33" s="5" t="s">
        <v>287</v>
      </c>
      <c r="H33" s="200">
        <v>4</v>
      </c>
      <c r="I33" s="5"/>
      <c r="J33" s="5"/>
      <c r="K33" s="5"/>
      <c r="L33" s="452"/>
      <c r="M33" s="450">
        <v>0</v>
      </c>
      <c r="N33" s="57">
        <v>0</v>
      </c>
      <c r="O33" s="290">
        <f>IF(AND(M33=0,N33&lt;&gt;0),1,IF(AND(M33=0,N33=0),0,N33/M33-1))</f>
        <v>0</v>
      </c>
      <c r="P33" s="761">
        <f>IF(N33&lt;=3,4,IF(N33&gt;5,0,2))</f>
        <v>4</v>
      </c>
      <c r="Q33" s="761">
        <v>4</v>
      </c>
      <c r="R33" s="512">
        <f t="shared" si="0"/>
        <v>0</v>
      </c>
      <c r="S33" s="552">
        <f t="shared" si="1"/>
        <v>0</v>
      </c>
      <c r="T33" s="552">
        <f t="shared" si="6"/>
        <v>0</v>
      </c>
      <c r="U33" s="552">
        <f t="shared" si="7"/>
        <v>0</v>
      </c>
      <c r="V33" s="552">
        <f t="shared" si="8"/>
        <v>0</v>
      </c>
      <c r="W33" s="2" t="b">
        <f t="shared" si="2"/>
        <v>1</v>
      </c>
      <c r="Y33" s="585"/>
      <c r="Z33" s="583">
        <v>0</v>
      </c>
      <c r="AA33" s="583">
        <f t="shared" si="3"/>
        <v>4</v>
      </c>
      <c r="AB33" s="583">
        <v>1</v>
      </c>
      <c r="AC33" s="583">
        <f t="shared" si="4"/>
        <v>4</v>
      </c>
      <c r="AD33" s="583">
        <v>0</v>
      </c>
      <c r="AE33" s="583"/>
      <c r="AF33" s="583"/>
      <c r="AG33" s="583"/>
      <c r="AH33" s="689">
        <f t="shared" si="5"/>
        <v>1</v>
      </c>
    </row>
    <row r="34" spans="1:35" s="2" customFormat="1" ht="15.6" customHeight="1">
      <c r="A34" s="764" t="s">
        <v>430</v>
      </c>
      <c r="B34" s="758" t="s">
        <v>431</v>
      </c>
      <c r="C34" s="774">
        <v>24</v>
      </c>
      <c r="D34" s="20" t="s">
        <v>187</v>
      </c>
      <c r="E34" s="483" t="s">
        <v>2039</v>
      </c>
      <c r="F34" s="102" t="s">
        <v>486</v>
      </c>
      <c r="G34" s="5" t="s">
        <v>287</v>
      </c>
      <c r="H34" s="200">
        <v>3</v>
      </c>
      <c r="I34" s="5" t="s">
        <v>188</v>
      </c>
      <c r="J34" s="5" t="s">
        <v>189</v>
      </c>
      <c r="K34" s="5"/>
      <c r="L34" s="49"/>
      <c r="M34" s="461" t="s">
        <v>188</v>
      </c>
      <c r="N34" s="240" t="s">
        <v>188</v>
      </c>
      <c r="O34" s="290">
        <f>IF((N34=M34)=TRUE,0,1)</f>
        <v>0</v>
      </c>
      <c r="P34" s="761">
        <v>3</v>
      </c>
      <c r="Q34" s="761">
        <v>3</v>
      </c>
      <c r="R34" s="512">
        <f t="shared" si="0"/>
        <v>0</v>
      </c>
      <c r="S34" s="552">
        <f t="shared" si="1"/>
        <v>0</v>
      </c>
      <c r="T34" s="552">
        <f t="shared" si="6"/>
        <v>0</v>
      </c>
      <c r="U34" s="552">
        <f t="shared" si="7"/>
        <v>0</v>
      </c>
      <c r="V34" s="552">
        <f t="shared" si="8"/>
        <v>0</v>
      </c>
      <c r="W34" s="2" t="b">
        <f t="shared" si="2"/>
        <v>1</v>
      </c>
      <c r="Y34" s="585"/>
      <c r="Z34" s="583">
        <v>0</v>
      </c>
      <c r="AA34" s="583">
        <f t="shared" si="3"/>
        <v>3</v>
      </c>
      <c r="AB34" s="583">
        <v>1</v>
      </c>
      <c r="AC34" s="583">
        <f t="shared" si="4"/>
        <v>3</v>
      </c>
      <c r="AD34" s="583">
        <v>0</v>
      </c>
      <c r="AE34" s="583"/>
      <c r="AF34" s="583"/>
      <c r="AG34" s="583"/>
      <c r="AH34" s="689">
        <f t="shared" si="5"/>
        <v>1</v>
      </c>
    </row>
    <row r="35" spans="1:35" s="2" customFormat="1" ht="15.6" customHeight="1">
      <c r="A35" s="763" t="s">
        <v>432</v>
      </c>
      <c r="B35" s="759" t="s">
        <v>433</v>
      </c>
      <c r="C35" s="774">
        <v>25</v>
      </c>
      <c r="D35" s="20" t="s">
        <v>190</v>
      </c>
      <c r="E35" s="483" t="s">
        <v>259</v>
      </c>
      <c r="F35" s="102" t="s">
        <v>486</v>
      </c>
      <c r="G35" s="5" t="s">
        <v>287</v>
      </c>
      <c r="H35" s="200">
        <v>3</v>
      </c>
      <c r="I35" s="5" t="s">
        <v>191</v>
      </c>
      <c r="J35" s="5" t="s">
        <v>192</v>
      </c>
      <c r="K35" s="5" t="s">
        <v>153</v>
      </c>
      <c r="L35" s="49"/>
      <c r="M35" s="458" t="s">
        <v>191</v>
      </c>
      <c r="N35" s="305" t="s">
        <v>191</v>
      </c>
      <c r="O35" s="290">
        <f>IF((N35=M35)=TRUE,0,1)</f>
        <v>0</v>
      </c>
      <c r="P35" s="761">
        <v>3</v>
      </c>
      <c r="Q35" s="761">
        <v>3</v>
      </c>
      <c r="R35" s="512">
        <f t="shared" si="0"/>
        <v>0</v>
      </c>
      <c r="S35" s="552">
        <f t="shared" si="1"/>
        <v>0</v>
      </c>
      <c r="T35" s="552">
        <f t="shared" si="6"/>
        <v>0</v>
      </c>
      <c r="U35" s="552">
        <f t="shared" si="7"/>
        <v>0</v>
      </c>
      <c r="V35" s="552">
        <f t="shared" si="8"/>
        <v>0</v>
      </c>
      <c r="W35" s="2" t="b">
        <f t="shared" si="2"/>
        <v>1</v>
      </c>
      <c r="Y35" s="585"/>
      <c r="Z35" s="583">
        <v>0</v>
      </c>
      <c r="AA35" s="583">
        <f t="shared" si="3"/>
        <v>3</v>
      </c>
      <c r="AB35" s="583">
        <v>1</v>
      </c>
      <c r="AC35" s="583">
        <f t="shared" si="4"/>
        <v>3</v>
      </c>
      <c r="AD35" s="583">
        <v>0</v>
      </c>
      <c r="AE35" s="583"/>
      <c r="AF35" s="583"/>
      <c r="AG35" s="583"/>
      <c r="AH35" s="689">
        <f t="shared" si="5"/>
        <v>1</v>
      </c>
    </row>
    <row r="36" spans="1:35" s="2" customFormat="1" ht="45" customHeight="1">
      <c r="A36" s="764" t="s">
        <v>563</v>
      </c>
      <c r="B36" s="1029" t="s">
        <v>2117</v>
      </c>
      <c r="C36" s="774">
        <v>26</v>
      </c>
      <c r="D36" s="20" t="s">
        <v>2116</v>
      </c>
      <c r="E36" s="485"/>
      <c r="F36" s="103" t="s">
        <v>490</v>
      </c>
      <c r="G36" s="5" t="s">
        <v>287</v>
      </c>
      <c r="H36" s="200">
        <v>3</v>
      </c>
      <c r="I36" s="5"/>
      <c r="J36" s="5"/>
      <c r="K36" s="5"/>
      <c r="L36" s="452"/>
      <c r="M36" s="465">
        <f>IF(M38=0,"",M37/M38)</f>
        <v>0</v>
      </c>
      <c r="N36" s="196">
        <f>IF(N38=0,"",N37/N38)</f>
        <v>3.3801153031353912E-6</v>
      </c>
      <c r="O36" s="290">
        <f>IF(AND(M36=0,N36&lt;&gt;0),1,IF(AND(M36=0,N36=0),0,N36/M36-1))</f>
        <v>1</v>
      </c>
      <c r="P36" s="761">
        <f>IF(N36&lt;0.0001,3,0)</f>
        <v>3</v>
      </c>
      <c r="Q36" s="761">
        <f>IF(M36&lt;0.0001,3,0)</f>
        <v>3</v>
      </c>
      <c r="R36" s="512">
        <f t="shared" si="0"/>
        <v>0</v>
      </c>
      <c r="S36" s="552">
        <f t="shared" si="1"/>
        <v>0</v>
      </c>
      <c r="T36" s="552">
        <f t="shared" si="6"/>
        <v>0</v>
      </c>
      <c r="U36" s="552">
        <f t="shared" si="7"/>
        <v>0</v>
      </c>
      <c r="V36" s="552">
        <f t="shared" si="8"/>
        <v>0</v>
      </c>
      <c r="W36" s="2" t="b">
        <f t="shared" si="2"/>
        <v>1</v>
      </c>
      <c r="Y36" s="585"/>
      <c r="Z36" s="583">
        <v>0</v>
      </c>
      <c r="AA36" s="583">
        <f t="shared" si="3"/>
        <v>3</v>
      </c>
      <c r="AB36" s="583">
        <v>0.5</v>
      </c>
      <c r="AC36" s="583">
        <f t="shared" si="4"/>
        <v>3</v>
      </c>
      <c r="AD36" s="583">
        <v>0</v>
      </c>
      <c r="AE36" s="583"/>
      <c r="AF36" s="583">
        <v>0.5</v>
      </c>
      <c r="AG36" s="583">
        <f t="shared" ref="AG36" si="11">$P36</f>
        <v>3</v>
      </c>
      <c r="AH36" s="689">
        <f t="shared" si="5"/>
        <v>0.5</v>
      </c>
      <c r="AI36" s="435"/>
    </row>
    <row r="37" spans="1:35" s="2" customFormat="1" ht="15.6" customHeight="1">
      <c r="A37" s="764"/>
      <c r="B37" s="758"/>
      <c r="C37" s="776">
        <v>26.1</v>
      </c>
      <c r="D37" s="17" t="s">
        <v>247</v>
      </c>
      <c r="E37" s="483" t="s">
        <v>259</v>
      </c>
      <c r="F37" s="104"/>
      <c r="G37" s="5"/>
      <c r="H37" s="65"/>
      <c r="I37" s="5"/>
      <c r="J37" s="5"/>
      <c r="K37" s="5"/>
      <c r="L37" s="452"/>
      <c r="M37" s="127">
        <v>0</v>
      </c>
      <c r="N37" s="127">
        <v>10564</v>
      </c>
      <c r="O37" s="290">
        <f>IF(AND(M37=0,N37&lt;&gt;0),1,IF(AND(M37=0,N37=0),0,N37/M37-1))</f>
        <v>1</v>
      </c>
      <c r="P37" s="761"/>
      <c r="Q37" s="761"/>
      <c r="R37" s="512">
        <f t="shared" si="0"/>
        <v>0</v>
      </c>
      <c r="S37" s="552">
        <f t="shared" si="1"/>
        <v>0</v>
      </c>
      <c r="T37" s="552">
        <f t="shared" si="6"/>
        <v>0</v>
      </c>
      <c r="U37" s="552">
        <f t="shared" si="7"/>
        <v>0</v>
      </c>
      <c r="V37" s="552">
        <f t="shared" si="8"/>
        <v>0</v>
      </c>
      <c r="W37" s="2" t="b">
        <f t="shared" si="2"/>
        <v>1</v>
      </c>
      <c r="Y37" s="585"/>
      <c r="Z37" s="583"/>
      <c r="AA37" s="583">
        <f t="shared" si="3"/>
        <v>0</v>
      </c>
      <c r="AB37" s="583"/>
      <c r="AC37" s="583">
        <f t="shared" si="4"/>
        <v>0</v>
      </c>
      <c r="AD37" s="583"/>
      <c r="AE37" s="583"/>
      <c r="AF37" s="583"/>
      <c r="AG37" s="583"/>
      <c r="AH37" s="689">
        <f t="shared" si="5"/>
        <v>0</v>
      </c>
    </row>
    <row r="38" spans="1:35" s="2" customFormat="1" ht="15.6" customHeight="1">
      <c r="A38" s="764"/>
      <c r="B38" s="758"/>
      <c r="C38" s="776">
        <v>26.2</v>
      </c>
      <c r="D38" s="17" t="s">
        <v>193</v>
      </c>
      <c r="E38" s="486" t="s">
        <v>259</v>
      </c>
      <c r="F38" s="105"/>
      <c r="G38" s="5"/>
      <c r="H38" s="65"/>
      <c r="I38" s="128"/>
      <c r="J38" s="128"/>
      <c r="K38" s="128"/>
      <c r="L38" s="454"/>
      <c r="M38" s="275">
        <v>2890877729</v>
      </c>
      <c r="N38" s="275">
        <v>3125337171.25</v>
      </c>
      <c r="O38" s="290">
        <f>IF(AND(M38=0,N38&lt;&gt;0),1,IF(AND(M38=0,N38=0),0,N38/M38-1))</f>
        <v>8.1103202635658844E-2</v>
      </c>
      <c r="P38" s="761"/>
      <c r="Q38" s="761"/>
      <c r="R38" s="512">
        <f t="shared" si="0"/>
        <v>0</v>
      </c>
      <c r="S38" s="552">
        <f t="shared" si="1"/>
        <v>0</v>
      </c>
      <c r="T38" s="552">
        <f t="shared" si="6"/>
        <v>0</v>
      </c>
      <c r="U38" s="552">
        <f t="shared" si="7"/>
        <v>0</v>
      </c>
      <c r="V38" s="552">
        <f t="shared" si="8"/>
        <v>0</v>
      </c>
      <c r="W38" s="2" t="b">
        <f t="shared" si="2"/>
        <v>1</v>
      </c>
      <c r="Y38" s="585"/>
      <c r="Z38" s="583"/>
      <c r="AA38" s="583">
        <f t="shared" si="3"/>
        <v>0</v>
      </c>
      <c r="AB38" s="583"/>
      <c r="AC38" s="583">
        <f t="shared" si="4"/>
        <v>0</v>
      </c>
      <c r="AD38" s="583"/>
      <c r="AE38" s="583"/>
      <c r="AF38" s="583"/>
      <c r="AG38" s="583"/>
      <c r="AH38" s="689">
        <f t="shared" si="5"/>
        <v>0</v>
      </c>
    </row>
    <row r="39" spans="1:35" s="2" customFormat="1" ht="15.6" customHeight="1">
      <c r="A39" s="764" t="s">
        <v>434</v>
      </c>
      <c r="B39" s="758" t="s">
        <v>435</v>
      </c>
      <c r="C39" s="774">
        <v>27</v>
      </c>
      <c r="D39" s="20" t="s">
        <v>144</v>
      </c>
      <c r="E39" s="483" t="s">
        <v>259</v>
      </c>
      <c r="F39" s="102" t="s">
        <v>486</v>
      </c>
      <c r="G39" s="5" t="s">
        <v>287</v>
      </c>
      <c r="H39" s="200">
        <v>3</v>
      </c>
      <c r="I39" s="5" t="s">
        <v>194</v>
      </c>
      <c r="J39" s="5" t="s">
        <v>195</v>
      </c>
      <c r="K39" s="5"/>
      <c r="L39" s="452"/>
      <c r="M39" s="461" t="s">
        <v>194</v>
      </c>
      <c r="N39" s="62" t="s">
        <v>194</v>
      </c>
      <c r="O39" s="290">
        <f>IF((N39=M39)=TRUE,0,1)</f>
        <v>0</v>
      </c>
      <c r="P39" s="761">
        <v>3</v>
      </c>
      <c r="Q39" s="761">
        <v>3</v>
      </c>
      <c r="R39" s="512">
        <f t="shared" si="0"/>
        <v>0</v>
      </c>
      <c r="S39" s="552">
        <f t="shared" si="1"/>
        <v>0</v>
      </c>
      <c r="T39" s="552">
        <f t="shared" si="6"/>
        <v>0</v>
      </c>
      <c r="U39" s="552">
        <f t="shared" si="7"/>
        <v>0</v>
      </c>
      <c r="V39" s="552">
        <f t="shared" si="8"/>
        <v>0</v>
      </c>
      <c r="W39" s="2" t="b">
        <f t="shared" si="2"/>
        <v>1</v>
      </c>
      <c r="Y39" s="585"/>
      <c r="Z39" s="583">
        <v>1</v>
      </c>
      <c r="AA39" s="583">
        <f t="shared" si="3"/>
        <v>3</v>
      </c>
      <c r="AB39" s="583">
        <v>1</v>
      </c>
      <c r="AC39" s="583">
        <f t="shared" si="4"/>
        <v>3</v>
      </c>
      <c r="AD39" s="583">
        <v>0</v>
      </c>
      <c r="AE39" s="583"/>
      <c r="AF39" s="583"/>
      <c r="AG39" s="583"/>
      <c r="AH39" s="689">
        <f t="shared" si="5"/>
        <v>2</v>
      </c>
    </row>
    <row r="40" spans="1:35" s="2" customFormat="1" ht="15.6" customHeight="1">
      <c r="A40" s="764"/>
      <c r="B40" s="758"/>
      <c r="C40" s="777">
        <v>28</v>
      </c>
      <c r="D40" s="60" t="s">
        <v>147</v>
      </c>
      <c r="E40" s="484" t="s">
        <v>259</v>
      </c>
      <c r="F40" s="103" t="s">
        <v>486</v>
      </c>
      <c r="G40" s="56" t="s">
        <v>287</v>
      </c>
      <c r="H40" s="201">
        <v>2</v>
      </c>
      <c r="I40" s="56" t="s">
        <v>196</v>
      </c>
      <c r="J40" s="56" t="s">
        <v>197</v>
      </c>
      <c r="K40" s="56"/>
      <c r="L40" s="453"/>
      <c r="M40" s="769" t="s">
        <v>196</v>
      </c>
      <c r="N40" s="768" t="s">
        <v>196</v>
      </c>
      <c r="O40" s="770">
        <f>IF((N40=M40)=TRUE,0,1)</f>
        <v>0</v>
      </c>
      <c r="P40" s="761">
        <v>2</v>
      </c>
      <c r="Q40" s="761">
        <v>2</v>
      </c>
      <c r="R40" s="512">
        <f t="shared" si="0"/>
        <v>0</v>
      </c>
      <c r="S40" s="771">
        <f t="shared" si="1"/>
        <v>0</v>
      </c>
      <c r="T40" s="552">
        <f t="shared" si="6"/>
        <v>0</v>
      </c>
      <c r="U40" s="552">
        <f t="shared" si="7"/>
        <v>0</v>
      </c>
      <c r="V40" s="552">
        <f t="shared" si="8"/>
        <v>0</v>
      </c>
      <c r="W40" s="2" t="b">
        <f t="shared" si="2"/>
        <v>1</v>
      </c>
      <c r="Y40" s="585"/>
      <c r="Z40" s="583">
        <v>1</v>
      </c>
      <c r="AA40" s="583">
        <f t="shared" si="3"/>
        <v>2</v>
      </c>
      <c r="AB40" s="583">
        <v>1</v>
      </c>
      <c r="AC40" s="583">
        <f t="shared" si="4"/>
        <v>2</v>
      </c>
      <c r="AD40" s="583">
        <v>0</v>
      </c>
      <c r="AE40" s="583"/>
      <c r="AF40" s="583"/>
      <c r="AG40" s="583"/>
      <c r="AH40" s="689">
        <f t="shared" si="5"/>
        <v>2</v>
      </c>
    </row>
    <row r="41" spans="1:35" s="2" customFormat="1" ht="108">
      <c r="A41" s="764" t="s">
        <v>1785</v>
      </c>
      <c r="B41" s="781" t="s">
        <v>730</v>
      </c>
      <c r="C41" s="778">
        <v>29</v>
      </c>
      <c r="D41" s="20" t="s">
        <v>731</v>
      </c>
      <c r="E41" s="483"/>
      <c r="F41" s="765" t="s">
        <v>499</v>
      </c>
      <c r="G41" s="5" t="s">
        <v>286</v>
      </c>
      <c r="H41" s="760">
        <v>10</v>
      </c>
      <c r="I41" s="5"/>
      <c r="J41" s="5"/>
      <c r="K41" s="5"/>
      <c r="L41" s="772"/>
      <c r="M41" s="62">
        <f>M17+M23+M29+M31+M19+M20</f>
        <v>1</v>
      </c>
      <c r="N41" s="62">
        <f>N17+N23+N29+N31+N19+N20</f>
        <v>1</v>
      </c>
      <c r="O41" s="62"/>
      <c r="P41" s="761" t="str">
        <f>IF(N41=0,10,"行业水平评分")</f>
        <v>行业水平评分</v>
      </c>
      <c r="Q41" s="761" t="str">
        <f>IF(M41=0,10,"行业水平评分")</f>
        <v>行业水平评分</v>
      </c>
      <c r="R41" s="512">
        <f>0</f>
        <v>0</v>
      </c>
      <c r="S41" s="552">
        <f>IF(N41&lt;&gt;0,10,0)</f>
        <v>10</v>
      </c>
      <c r="T41" s="552">
        <f t="shared" si="6"/>
        <v>6</v>
      </c>
      <c r="U41" s="552">
        <f t="shared" si="7"/>
        <v>0.66666666666666663</v>
      </c>
      <c r="V41" s="552">
        <f t="shared" si="8"/>
        <v>0.33333333333333331</v>
      </c>
      <c r="Y41" s="585"/>
      <c r="Z41" s="583">
        <v>1</v>
      </c>
      <c r="AA41" s="583" t="str">
        <f t="shared" si="3"/>
        <v>行业水平评分</v>
      </c>
      <c r="AB41" s="583">
        <v>1</v>
      </c>
      <c r="AC41" s="583" t="str">
        <f t="shared" si="4"/>
        <v>行业水平评分</v>
      </c>
      <c r="AD41" s="585"/>
      <c r="AE41" s="585"/>
      <c r="AF41" s="585"/>
      <c r="AG41" s="585"/>
      <c r="AH41" s="689">
        <f t="shared" si="5"/>
        <v>2</v>
      </c>
    </row>
    <row r="42" spans="1:35" ht="15.6" customHeight="1">
      <c r="A42" s="12"/>
      <c r="B42" s="364"/>
      <c r="C42" s="778"/>
      <c r="D42" s="564" t="s">
        <v>278</v>
      </c>
      <c r="E42" s="487"/>
      <c r="F42" s="70"/>
      <c r="G42" s="5"/>
      <c r="H42" s="743">
        <f>SUM(H4:H41)</f>
        <v>90</v>
      </c>
      <c r="I42" s="12"/>
      <c r="J42" s="12"/>
      <c r="K42" s="12"/>
      <c r="L42" s="455"/>
      <c r="M42" s="450"/>
      <c r="N42" s="57"/>
      <c r="O42" s="40"/>
      <c r="P42" s="784">
        <f>SUBTOTAL(9,P4:P41)</f>
        <v>69</v>
      </c>
      <c r="Q42" s="784">
        <f>SUBTOTAL(9,Q4:Q41)</f>
        <v>67</v>
      </c>
      <c r="R42" s="783">
        <f>P42-Q42</f>
        <v>2</v>
      </c>
      <c r="S42" s="811">
        <f>SUM(S4:S41)</f>
        <v>21</v>
      </c>
      <c r="T42" s="855">
        <f t="shared" si="6"/>
        <v>12.6</v>
      </c>
      <c r="U42" s="855">
        <f t="shared" si="7"/>
        <v>1.4</v>
      </c>
      <c r="V42" s="855">
        <f t="shared" si="8"/>
        <v>0.7</v>
      </c>
    </row>
    <row r="43" spans="1:35">
      <c r="D43" s="549" t="s">
        <v>1904</v>
      </c>
      <c r="H43" s="788">
        <f>SUM(H4:H40)</f>
        <v>80</v>
      </c>
      <c r="P43" s="718">
        <f>P42-P45</f>
        <v>69</v>
      </c>
      <c r="Q43" s="718">
        <f>Q42-Q45</f>
        <v>67</v>
      </c>
      <c r="S43" s="811">
        <f>SUM(S4:S40)</f>
        <v>11</v>
      </c>
      <c r="T43" s="855">
        <f t="shared" si="6"/>
        <v>6.6</v>
      </c>
      <c r="U43" s="855">
        <f t="shared" si="7"/>
        <v>0.73333333333333328</v>
      </c>
      <c r="V43" s="855">
        <f t="shared" si="8"/>
        <v>0.36666666666666664</v>
      </c>
      <c r="W43" s="549" t="s">
        <v>1814</v>
      </c>
      <c r="X43" s="549"/>
      <c r="Y43" s="683" t="s">
        <v>1660</v>
      </c>
      <c r="AA43" s="584">
        <f>SUMPRODUCT(Z4:Z41,AA4:AA41)</f>
        <v>35</v>
      </c>
      <c r="AB43" s="584"/>
      <c r="AC43" s="584">
        <f>SUMPRODUCT(AB4:AB41,AC4:AC41)</f>
        <v>56.5</v>
      </c>
      <c r="AD43" s="584"/>
      <c r="AE43" s="584">
        <f>SUMPRODUCT(AD4:AD41,AE4:AE41)</f>
        <v>0</v>
      </c>
      <c r="AF43" s="584"/>
      <c r="AG43" s="584">
        <f>SUMPRODUCT(AF4:AF41,AG4:AG41)</f>
        <v>1.5</v>
      </c>
      <c r="AH43" s="584">
        <f>SUMPRODUCT(AD4:AD41,AH4:AH41)</f>
        <v>2</v>
      </c>
    </row>
    <row r="44" spans="1:35">
      <c r="D44" s="549" t="s">
        <v>1905</v>
      </c>
      <c r="H44" s="788">
        <f>H41</f>
        <v>10</v>
      </c>
      <c r="P44" s="718">
        <f>0</f>
        <v>0</v>
      </c>
      <c r="Q44" s="718">
        <f>0</f>
        <v>0</v>
      </c>
      <c r="S44" s="811">
        <f>S41</f>
        <v>10</v>
      </c>
      <c r="T44" s="855">
        <f t="shared" si="6"/>
        <v>6</v>
      </c>
      <c r="U44" s="855">
        <f t="shared" si="7"/>
        <v>0.66666666666666663</v>
      </c>
      <c r="V44" s="855">
        <f t="shared" si="8"/>
        <v>0.33333333333333331</v>
      </c>
      <c r="W44" s="549" t="s">
        <v>1906</v>
      </c>
      <c r="X44" s="549"/>
      <c r="AA44" s="584"/>
      <c r="AB44" s="584"/>
      <c r="AC44" s="584"/>
      <c r="AD44" s="584"/>
      <c r="AE44" s="584"/>
      <c r="AF44" s="584"/>
      <c r="AG44" s="584"/>
      <c r="AH44" s="584"/>
    </row>
    <row r="45" spans="1:35">
      <c r="D45" s="549" t="s">
        <v>550</v>
      </c>
      <c r="P45" s="718">
        <f>IF(P41=10,10,0)</f>
        <v>0</v>
      </c>
      <c r="Q45" s="718">
        <f>IF(Q41=10,10,0)</f>
        <v>0</v>
      </c>
      <c r="Y45" s="683" t="s">
        <v>1663</v>
      </c>
      <c r="AA45" s="584">
        <f>SUMPRODUCT(Z4:Z41,$H$4:$H$41)</f>
        <v>53</v>
      </c>
      <c r="AB45" s="584"/>
      <c r="AC45" s="584">
        <f>SUMPRODUCT(AB4:AB41,$H$4:$H$41)</f>
        <v>69.5</v>
      </c>
      <c r="AD45" s="584"/>
      <c r="AE45" s="584">
        <f>SUMPRODUCT(AD4:AD41,$H$4:$H$41)</f>
        <v>3</v>
      </c>
      <c r="AF45" s="584"/>
      <c r="AG45" s="584">
        <f>SUMPRODUCT(AF4:AF41,$H$4:$H$41)</f>
        <v>1.5</v>
      </c>
      <c r="AH45" s="584">
        <f>SUMPRODUCT(AD4:AD41,$H$4:$H$41)</f>
        <v>3</v>
      </c>
      <c r="AI45" s="135"/>
    </row>
    <row r="46" spans="1:35">
      <c r="D46" s="549" t="s">
        <v>552</v>
      </c>
      <c r="P46" s="718">
        <f>10-P45</f>
        <v>10</v>
      </c>
      <c r="Q46" s="718">
        <f>10-Q45</f>
        <v>10</v>
      </c>
    </row>
    <row r="47" spans="1:35">
      <c r="D47" s="549" t="s">
        <v>551</v>
      </c>
      <c r="H47" s="743">
        <v>10</v>
      </c>
      <c r="P47" s="718">
        <v>10</v>
      </c>
      <c r="Q47" s="718">
        <v>10</v>
      </c>
    </row>
    <row r="48" spans="1:35">
      <c r="D48" s="549" t="s">
        <v>553</v>
      </c>
      <c r="P48" s="718">
        <f>100-SUM(P43:P44)-P47</f>
        <v>21</v>
      </c>
      <c r="Q48" s="718">
        <f>100-SUM(Q43:Q44)-Q47</f>
        <v>23</v>
      </c>
    </row>
    <row r="49" spans="1:12">
      <c r="A49" s="27"/>
      <c r="B49" s="319"/>
      <c r="H49" s="19"/>
      <c r="L49" s="457"/>
    </row>
    <row r="50" spans="1:12">
      <c r="A50" s="27"/>
      <c r="B50" s="319"/>
      <c r="H50" s="19"/>
      <c r="L50" s="457"/>
    </row>
    <row r="51" spans="1:12">
      <c r="A51" s="27"/>
      <c r="B51" s="319"/>
      <c r="H51" s="19"/>
      <c r="L51" s="457"/>
    </row>
    <row r="52" spans="1:12">
      <c r="A52" s="27"/>
      <c r="B52" s="319"/>
      <c r="D52" s="894" t="s">
        <v>1960</v>
      </c>
      <c r="H52" s="19"/>
      <c r="L52" s="457"/>
    </row>
    <row r="53" spans="1:12">
      <c r="A53" s="27"/>
      <c r="B53" s="319"/>
      <c r="D53" s="893" t="s">
        <v>2008</v>
      </c>
      <c r="H53" s="19"/>
      <c r="L53" s="457"/>
    </row>
    <row r="54" spans="1:12">
      <c r="A54" s="27"/>
      <c r="B54" s="319"/>
      <c r="D54" s="27"/>
      <c r="H54" s="19"/>
      <c r="L54" s="457"/>
    </row>
    <row r="55" spans="1:12">
      <c r="A55" s="27"/>
      <c r="B55" s="319"/>
      <c r="D55" s="27"/>
      <c r="H55" s="19"/>
      <c r="L55" s="457"/>
    </row>
    <row r="56" spans="1:12">
      <c r="A56" s="27"/>
      <c r="B56" s="319"/>
      <c r="D56" s="27"/>
      <c r="H56" s="19"/>
      <c r="L56" s="457"/>
    </row>
    <row r="57" spans="1:12">
      <c r="A57" s="27"/>
      <c r="B57" s="319"/>
      <c r="D57" s="27"/>
      <c r="H57" s="19"/>
      <c r="L57" s="457"/>
    </row>
    <row r="58" spans="1:12">
      <c r="A58" s="27"/>
      <c r="B58" s="319"/>
      <c r="D58" s="27"/>
      <c r="H58" s="19"/>
      <c r="L58" s="457"/>
    </row>
    <row r="59" spans="1:12">
      <c r="A59" s="27"/>
      <c r="B59" s="319"/>
      <c r="D59" s="27"/>
      <c r="H59" s="19"/>
      <c r="L59" s="457"/>
    </row>
    <row r="60" spans="1:12">
      <c r="A60" s="27"/>
      <c r="B60" s="319"/>
      <c r="D60" s="27"/>
      <c r="H60" s="19"/>
      <c r="L60" s="457"/>
    </row>
    <row r="61" spans="1:12">
      <c r="A61" s="27"/>
      <c r="B61" s="319"/>
      <c r="D61" s="27"/>
      <c r="H61" s="19"/>
      <c r="L61" s="457"/>
    </row>
    <row r="62" spans="1:12">
      <c r="A62" s="27"/>
      <c r="B62" s="319"/>
      <c r="D62" s="27"/>
      <c r="H62" s="19"/>
      <c r="L62" s="457"/>
    </row>
    <row r="63" spans="1:12">
      <c r="A63" s="27"/>
      <c r="B63" s="319"/>
      <c r="D63" s="27"/>
      <c r="H63" s="19"/>
      <c r="L63" s="457"/>
    </row>
    <row r="64" spans="1:12">
      <c r="A64" s="27"/>
      <c r="B64" s="319"/>
      <c r="D64" s="27"/>
      <c r="H64" s="19"/>
      <c r="L64" s="457"/>
    </row>
    <row r="65" spans="1:12">
      <c r="A65" s="27"/>
      <c r="B65" s="319"/>
      <c r="D65" s="27"/>
      <c r="H65" s="19"/>
      <c r="L65" s="457"/>
    </row>
    <row r="66" spans="1:12">
      <c r="A66" s="27"/>
      <c r="B66" s="319"/>
      <c r="D66" s="27"/>
      <c r="H66" s="19"/>
      <c r="L66" s="457"/>
    </row>
    <row r="67" spans="1:12">
      <c r="A67" s="27"/>
      <c r="B67" s="319"/>
      <c r="D67" s="27"/>
      <c r="H67" s="19"/>
      <c r="L67" s="457"/>
    </row>
    <row r="68" spans="1:12">
      <c r="A68" s="27"/>
      <c r="B68" s="319"/>
      <c r="D68" s="27"/>
      <c r="H68" s="19"/>
      <c r="L68" s="457"/>
    </row>
    <row r="69" spans="1:12">
      <c r="A69" s="27"/>
      <c r="B69" s="319"/>
      <c r="D69" s="27"/>
      <c r="H69" s="19"/>
      <c r="L69" s="457"/>
    </row>
    <row r="70" spans="1:12">
      <c r="A70" s="27"/>
      <c r="B70" s="319"/>
      <c r="D70" s="27"/>
      <c r="H70" s="19"/>
      <c r="L70" s="457"/>
    </row>
    <row r="71" spans="1:12">
      <c r="A71" s="27"/>
      <c r="B71" s="319"/>
      <c r="D71" s="27"/>
      <c r="H71" s="19"/>
      <c r="L71" s="457"/>
    </row>
    <row r="72" spans="1:12">
      <c r="A72" s="27"/>
      <c r="B72" s="319"/>
      <c r="D72" s="27"/>
      <c r="H72" s="19"/>
      <c r="L72" s="457"/>
    </row>
    <row r="73" spans="1:12">
      <c r="A73" s="27"/>
      <c r="B73" s="319"/>
      <c r="D73" s="27"/>
      <c r="H73" s="19"/>
      <c r="L73" s="457"/>
    </row>
    <row r="74" spans="1:12">
      <c r="A74" s="27"/>
      <c r="B74" s="319"/>
      <c r="D74" s="27"/>
      <c r="H74" s="19"/>
      <c r="L74" s="457"/>
    </row>
    <row r="75" spans="1:12">
      <c r="A75" s="27"/>
      <c r="B75" s="319"/>
      <c r="D75" s="27"/>
      <c r="H75" s="19"/>
      <c r="L75" s="457"/>
    </row>
    <row r="76" spans="1:12">
      <c r="A76" s="27"/>
      <c r="B76" s="319"/>
      <c r="D76" s="27"/>
      <c r="H76" s="19"/>
      <c r="L76" s="457"/>
    </row>
    <row r="77" spans="1:12">
      <c r="A77" s="27"/>
      <c r="B77" s="319"/>
      <c r="D77" s="27"/>
      <c r="H77" s="19"/>
      <c r="L77" s="457"/>
    </row>
    <row r="78" spans="1:12">
      <c r="A78" s="27"/>
      <c r="B78" s="319"/>
      <c r="D78" s="27"/>
      <c r="H78" s="19"/>
      <c r="L78" s="457"/>
    </row>
    <row r="79" spans="1:12">
      <c r="A79" s="27"/>
      <c r="B79" s="319"/>
      <c r="D79" s="27"/>
      <c r="H79" s="19"/>
      <c r="L79" s="457"/>
    </row>
    <row r="80" spans="1:12">
      <c r="A80" s="27"/>
      <c r="B80" s="319"/>
      <c r="D80" s="27"/>
      <c r="H80" s="19"/>
      <c r="L80" s="457"/>
    </row>
    <row r="81" spans="1:12">
      <c r="A81" s="27"/>
      <c r="B81" s="319"/>
      <c r="D81" s="27"/>
      <c r="H81" s="19"/>
      <c r="L81" s="457"/>
    </row>
    <row r="82" spans="1:12">
      <c r="A82" s="27"/>
      <c r="B82" s="319"/>
      <c r="D82" s="27"/>
      <c r="H82" s="19"/>
      <c r="L82" s="457"/>
    </row>
    <row r="83" spans="1:12">
      <c r="A83" s="27"/>
      <c r="B83" s="319"/>
      <c r="D83" s="27"/>
      <c r="H83" s="19"/>
      <c r="L83" s="457"/>
    </row>
    <row r="84" spans="1:12">
      <c r="A84" s="27"/>
      <c r="B84" s="319"/>
      <c r="D84" s="27"/>
      <c r="H84" s="19"/>
      <c r="L84" s="457"/>
    </row>
    <row r="85" spans="1:12">
      <c r="A85" s="27"/>
      <c r="B85" s="319"/>
      <c r="D85" s="27"/>
      <c r="H85" s="19"/>
      <c r="L85" s="457"/>
    </row>
  </sheetData>
  <mergeCells count="2">
    <mergeCell ref="A7:A10"/>
    <mergeCell ref="B7:B10"/>
  </mergeCells>
  <phoneticPr fontId="12" type="noConversion"/>
  <conditionalFormatting sqref="O4:O40">
    <cfRule type="cellIs" dxfId="110" priority="27" stopIfTrue="1" operator="lessThanOrEqual">
      <formula>-0.3</formula>
    </cfRule>
    <cfRule type="cellIs" dxfId="109" priority="28" stopIfTrue="1" operator="greaterThanOrEqual">
      <formula>0.3</formula>
    </cfRule>
  </conditionalFormatting>
  <conditionalFormatting sqref="P36:Q36">
    <cfRule type="cellIs" dxfId="108" priority="25" operator="notEqual">
      <formula>3</formula>
    </cfRule>
  </conditionalFormatting>
  <conditionalFormatting sqref="S4:V41">
    <cfRule type="expression" dxfId="107" priority="23">
      <formula>S4&lt;&gt;0</formula>
    </cfRule>
  </conditionalFormatting>
  <conditionalFormatting sqref="P4">
    <cfRule type="expression" dxfId="106" priority="20">
      <formula>P4&lt;&gt;H4</formula>
    </cfRule>
  </conditionalFormatting>
  <conditionalFormatting sqref="P5:P10">
    <cfRule type="expression" dxfId="105" priority="19">
      <formula>P5&lt;&gt;H5</formula>
    </cfRule>
  </conditionalFormatting>
  <conditionalFormatting sqref="P5:P41">
    <cfRule type="expression" dxfId="104" priority="18">
      <formula>P5&lt;&gt;H5</formula>
    </cfRule>
  </conditionalFormatting>
  <conditionalFormatting sqref="Q4">
    <cfRule type="expression" dxfId="103" priority="17">
      <formula>Q4&lt;&gt;H4</formula>
    </cfRule>
  </conditionalFormatting>
  <conditionalFormatting sqref="Q5:Q23">
    <cfRule type="expression" dxfId="102" priority="16">
      <formula>Q5&lt;&gt;H5</formula>
    </cfRule>
  </conditionalFormatting>
  <conditionalFormatting sqref="Q20:Q41">
    <cfRule type="expression" dxfId="101" priority="15">
      <formula>Q20&lt;&gt;H20</formula>
    </cfRule>
  </conditionalFormatting>
  <conditionalFormatting sqref="R4:R41">
    <cfRule type="expression" dxfId="100" priority="14">
      <formula>R4&lt;0</formula>
    </cfRule>
  </conditionalFormatting>
  <conditionalFormatting sqref="R4:R41">
    <cfRule type="cellIs" dxfId="99" priority="11" stopIfTrue="1" operator="lessThan">
      <formula>0</formula>
    </cfRule>
    <cfRule type="cellIs" dxfId="98" priority="12" operator="greaterThan">
      <formula>0</formula>
    </cfRule>
  </conditionalFormatting>
  <dataValidations count="14">
    <dataValidation type="list" allowBlank="1" showInputMessage="1" showErrorMessage="1" sqref="H5 M5:N5">
      <formula1>"是,否"</formula1>
    </dataValidation>
    <dataValidation type="list" allowBlank="1" showInputMessage="1" showErrorMessage="1" sqref="L4:N4">
      <formula1>$I$4:$K$4</formula1>
    </dataValidation>
    <dataValidation type="list" allowBlank="1" showInputMessage="1" showErrorMessage="1" sqref="L30">
      <formula1>$I$30:$K$30</formula1>
    </dataValidation>
    <dataValidation type="list" allowBlank="1" showInputMessage="1" showErrorMessage="1" sqref="L32">
      <formula1>$I$32:$J$32</formula1>
    </dataValidation>
    <dataValidation type="list" allowBlank="1" showInputMessage="1" showErrorMessage="1" sqref="L34">
      <formula1>$I$34:$J$34</formula1>
    </dataValidation>
    <dataValidation type="list" allowBlank="1" showInputMessage="1" showErrorMessage="1" sqref="L35">
      <formula1>$I$35:$K$35</formula1>
    </dataValidation>
    <dataValidation type="list" allowBlank="1" showInputMessage="1" showErrorMessage="1" sqref="L18">
      <formula1>$M$18:$M$18</formula1>
    </dataValidation>
    <dataValidation type="list" allowBlank="1" showInputMessage="1" showErrorMessage="1" sqref="L16">
      <formula1>$M$16:$M$16</formula1>
    </dataValidation>
    <dataValidation type="list" allowBlank="1" showInputMessage="1" showErrorMessage="1" sqref="L15">
      <formula1>$M$15:$M$15</formula1>
    </dataValidation>
    <dataValidation type="list" allowBlank="1" showInputMessage="1" showErrorMessage="1" sqref="L14">
      <formula1>$M$14:$M$14</formula1>
    </dataValidation>
    <dataValidation type="list" allowBlank="1" showInputMessage="1" showErrorMessage="1" sqref="L28">
      <formula1>$M$28:$M$28</formula1>
    </dataValidation>
    <dataValidation type="list" allowBlank="1" showInputMessage="1" showErrorMessage="1" sqref="L24">
      <formula1>$M$24:$M$24</formula1>
    </dataValidation>
    <dataValidation type="list" allowBlank="1" showInputMessage="1" showErrorMessage="1" sqref="L22">
      <formula1>$M$22:$M$22</formula1>
    </dataValidation>
    <dataValidation type="list" allowBlank="1" showInputMessage="1" showErrorMessage="1" sqref="L21">
      <formula1>$M$21:$M$21</formula1>
    </dataValidation>
  </dataValidations>
  <hyperlinks>
    <hyperlink ref="D52" location="权重!A1" display="权重!A1"/>
    <hyperlink ref="D53" location="目录!A1" display="目录!A1"/>
  </hyperlinks>
  <pageMargins left="0.7" right="0.7" top="0.75" bottom="0.75" header="0.3" footer="0.3"/>
  <pageSetup paperSize="9" orientation="portrait" horizontalDpi="4294967295" verticalDpi="4294967295" r:id="rId1"/>
  <legacyDrawing r:id="rId2"/>
</worksheet>
</file>

<file path=xl/worksheets/sheet21.xml><?xml version="1.0" encoding="utf-8"?>
<worksheet xmlns="http://schemas.openxmlformats.org/spreadsheetml/2006/main" xmlns:r="http://schemas.openxmlformats.org/officeDocument/2006/relationships">
  <sheetPr codeName="Sheet4">
    <tabColor theme="6"/>
  </sheetPr>
  <dimension ref="A1:AL121"/>
  <sheetViews>
    <sheetView workbookViewId="0">
      <pane xSplit="9" ySplit="3" topLeftCell="J7" activePane="bottomRight" state="frozenSplit"/>
      <selection activeCell="C1" sqref="A1:XFD1048576"/>
      <selection pane="topRight" activeCell="H1" sqref="H1"/>
      <selection pane="bottomLeft" activeCell="C4" sqref="C4"/>
      <selection pane="bottomRight" activeCell="D35" sqref="D35"/>
    </sheetView>
  </sheetViews>
  <sheetFormatPr defaultColWidth="8.875" defaultRowHeight="16.5" outlineLevelCol="2"/>
  <cols>
    <col min="1" max="1" width="20.75" style="312" hidden="1" customWidth="1" outlineLevel="1"/>
    <col min="2" max="2" width="14.125" style="312" hidden="1" customWidth="1" outlineLevel="1"/>
    <col min="3" max="3" width="4.625" style="8" customWidth="1" collapsed="1"/>
    <col min="4" max="4" width="37.875" style="1" customWidth="1"/>
    <col min="5" max="5" width="14.125" style="488" hidden="1" customWidth="1" outlineLevel="1"/>
    <col min="6" max="6" width="11" style="26" hidden="1" customWidth="1" outlineLevel="2"/>
    <col min="7" max="7" width="9.75" style="31" hidden="1" customWidth="1" outlineLevel="2"/>
    <col min="8" max="8" width="7.5" style="1" hidden="1" customWidth="1" outlineLevel="1"/>
    <col min="9" max="9" width="9.875" style="27" customWidth="1" collapsed="1"/>
    <col min="10" max="10" width="9.875" style="27" hidden="1" customWidth="1"/>
    <col min="11" max="11" width="8.125" style="8" hidden="1" customWidth="1"/>
    <col min="12" max="12" width="10.125" style="8" hidden="1" customWidth="1"/>
    <col min="13" max="14" width="10.375" style="27" bestFit="1" customWidth="1"/>
    <col min="15" max="15" width="9.25" style="27" hidden="1" customWidth="1"/>
    <col min="16" max="18" width="8.875" style="1" hidden="1" customWidth="1"/>
    <col min="19" max="19" width="9.875" style="1" hidden="1" customWidth="1"/>
    <col min="20" max="20" width="11.375" style="1" hidden="1" customWidth="1"/>
    <col min="21" max="21" width="8.875" style="1" hidden="1" customWidth="1"/>
    <col min="22" max="27" width="8.875" style="683" hidden="1" customWidth="1" outlineLevel="1"/>
    <col min="28" max="28" width="15" style="683" hidden="1" customWidth="1" outlineLevel="1"/>
    <col min="29" max="30" width="8.875" style="683" hidden="1" customWidth="1" outlineLevel="1"/>
    <col min="31" max="31" width="15.125" style="683" hidden="1" customWidth="1" outlineLevel="1"/>
    <col min="32" max="32" width="14.25" style="683" hidden="1" customWidth="1" outlineLevel="1"/>
    <col min="33" max="35" width="12" style="683" hidden="1" customWidth="1" outlineLevel="1"/>
    <col min="36" max="36" width="32.125" style="683" hidden="1" customWidth="1" outlineLevel="1"/>
    <col min="37" max="37" width="5.5" style="683" hidden="1" customWidth="1" outlineLevel="1"/>
    <col min="38" max="38" width="8.875" style="1" collapsed="1"/>
    <col min="39" max="16384" width="8.875" style="1"/>
  </cols>
  <sheetData>
    <row r="1" spans="1:37">
      <c r="A1" s="357"/>
      <c r="B1" s="357"/>
      <c r="C1" s="159" t="s">
        <v>33</v>
      </c>
      <c r="D1" s="159"/>
      <c r="E1" s="489"/>
      <c r="F1" s="187"/>
      <c r="G1" s="641"/>
      <c r="I1" s="43"/>
      <c r="J1" s="641"/>
      <c r="K1" s="737"/>
      <c r="L1" s="737"/>
      <c r="M1" s="641"/>
      <c r="N1" s="189"/>
      <c r="O1" s="641"/>
    </row>
    <row r="2" spans="1:37">
      <c r="A2" s="357"/>
      <c r="B2" s="357"/>
      <c r="C2" s="28"/>
      <c r="D2" s="28"/>
      <c r="E2" s="489"/>
      <c r="F2" s="187"/>
      <c r="G2" s="91"/>
      <c r="I2" s="43"/>
      <c r="J2" s="641"/>
      <c r="K2" s="737"/>
      <c r="L2" s="737"/>
      <c r="M2" s="641"/>
      <c r="N2" s="189"/>
      <c r="O2" s="308" t="s">
        <v>2009</v>
      </c>
      <c r="U2" s="19"/>
      <c r="W2" s="683" t="s">
        <v>1182</v>
      </c>
    </row>
    <row r="3" spans="1:37" s="2" customFormat="1" ht="15">
      <c r="A3" s="39" t="s">
        <v>482</v>
      </c>
      <c r="B3" s="39" t="s">
        <v>483</v>
      </c>
      <c r="C3" s="14" t="s">
        <v>230</v>
      </c>
      <c r="D3" s="15" t="s">
        <v>229</v>
      </c>
      <c r="E3" s="15" t="s">
        <v>1803</v>
      </c>
      <c r="F3" s="15" t="s">
        <v>1889</v>
      </c>
      <c r="G3" s="15" t="s">
        <v>481</v>
      </c>
      <c r="H3" s="15" t="s">
        <v>745</v>
      </c>
      <c r="I3" s="15" t="s">
        <v>584</v>
      </c>
      <c r="J3" s="15" t="s">
        <v>1201</v>
      </c>
      <c r="K3" s="992" t="s">
        <v>1811</v>
      </c>
      <c r="L3" s="15" t="s">
        <v>1707</v>
      </c>
      <c r="M3" s="15" t="s">
        <v>1883</v>
      </c>
      <c r="N3" s="15" t="s">
        <v>1863</v>
      </c>
      <c r="O3" s="90" t="s">
        <v>1202</v>
      </c>
      <c r="P3" s="67" t="s">
        <v>1203</v>
      </c>
      <c r="Q3" s="67" t="s">
        <v>554</v>
      </c>
      <c r="R3" s="766" t="s">
        <v>1952</v>
      </c>
      <c r="S3" s="766" t="s">
        <v>1953</v>
      </c>
      <c r="T3" s="766" t="s">
        <v>1954</v>
      </c>
      <c r="U3" s="747"/>
      <c r="V3" s="585"/>
      <c r="W3" s="585" t="s">
        <v>1646</v>
      </c>
      <c r="X3" s="585" t="s">
        <v>1645</v>
      </c>
      <c r="Y3" s="585" t="s">
        <v>1474</v>
      </c>
      <c r="Z3" s="585" t="s">
        <v>1651</v>
      </c>
      <c r="AA3" s="585" t="s">
        <v>1475</v>
      </c>
      <c r="AB3" s="585" t="s">
        <v>1652</v>
      </c>
      <c r="AC3" s="585" t="s">
        <v>1703</v>
      </c>
      <c r="AD3" s="585" t="s">
        <v>1704</v>
      </c>
      <c r="AE3" s="585" t="s">
        <v>1695</v>
      </c>
      <c r="AF3" s="585" t="s">
        <v>1697</v>
      </c>
      <c r="AG3" s="585"/>
      <c r="AH3" s="585"/>
      <c r="AI3" s="585"/>
      <c r="AJ3" s="585"/>
      <c r="AK3" s="585" t="s">
        <v>1699</v>
      </c>
    </row>
    <row r="4" spans="1:37" s="2" customFormat="1" ht="15.6" customHeight="1">
      <c r="A4" s="358" t="s">
        <v>1175</v>
      </c>
      <c r="B4" s="358" t="s">
        <v>323</v>
      </c>
      <c r="C4" s="11">
        <v>1</v>
      </c>
      <c r="D4" s="20" t="s">
        <v>34</v>
      </c>
      <c r="E4" s="483" t="s">
        <v>260</v>
      </c>
      <c r="F4" s="5" t="s">
        <v>260</v>
      </c>
      <c r="G4" s="642" t="s">
        <v>1890</v>
      </c>
      <c r="H4" s="76" t="s">
        <v>287</v>
      </c>
      <c r="I4" s="200">
        <v>2</v>
      </c>
      <c r="J4" s="50"/>
      <c r="K4" s="61">
        <v>20.010000000000002</v>
      </c>
      <c r="L4" s="61">
        <v>19.760000000000002</v>
      </c>
      <c r="M4" s="246">
        <f>IF(K4&gt;7,2,IF(K4&gt;5,1,0))</f>
        <v>2</v>
      </c>
      <c r="N4" s="246">
        <f>IF(L4&gt;7,2,IF(L4&gt;5,1,0))</f>
        <v>2</v>
      </c>
      <c r="O4" s="678">
        <f>IF(AND(L4=0,K4&lt;&gt;0),1,IF(AND(L4=0,K4=0),0,K4/L4-1))</f>
        <v>1.2651821862348145E-2</v>
      </c>
      <c r="P4" s="512">
        <f>M4-N4</f>
        <v>0</v>
      </c>
      <c r="Q4" s="552">
        <f t="shared" ref="Q4:Q35" si="0">I4-M4</f>
        <v>0</v>
      </c>
      <c r="R4" s="552">
        <f>Q4*100%</f>
        <v>0</v>
      </c>
      <c r="S4" s="552">
        <f>R4/9</f>
        <v>0</v>
      </c>
      <c r="T4" s="552">
        <f>S4/2</f>
        <v>0</v>
      </c>
      <c r="U4" s="257"/>
      <c r="V4" s="748"/>
      <c r="W4" s="724">
        <v>1</v>
      </c>
      <c r="X4" s="724">
        <f t="shared" ref="X4:X35" si="1">$M4</f>
        <v>2</v>
      </c>
      <c r="Y4" s="583">
        <v>0</v>
      </c>
      <c r="Z4" s="583"/>
      <c r="AA4" s="583">
        <v>0</v>
      </c>
      <c r="AB4" s="724">
        <f t="shared" ref="AB4:AB35" si="2">$M4</f>
        <v>2</v>
      </c>
      <c r="AC4" s="583"/>
      <c r="AD4" s="583"/>
      <c r="AE4" s="585"/>
      <c r="AF4" s="585"/>
      <c r="AG4" s="585"/>
      <c r="AH4" s="585"/>
      <c r="AI4" s="585"/>
      <c r="AJ4" s="585" t="str">
        <f>AE4&amp;AF4</f>
        <v/>
      </c>
      <c r="AK4" s="585"/>
    </row>
    <row r="5" spans="1:37" s="2" customFormat="1" ht="15.6" customHeight="1">
      <c r="A5" s="358" t="s">
        <v>324</v>
      </c>
      <c r="B5" s="358" t="s">
        <v>325</v>
      </c>
      <c r="C5" s="11">
        <v>2</v>
      </c>
      <c r="D5" s="20" t="s">
        <v>35</v>
      </c>
      <c r="E5" s="483" t="s">
        <v>260</v>
      </c>
      <c r="F5" s="5" t="s">
        <v>260</v>
      </c>
      <c r="G5" s="642" t="s">
        <v>1891</v>
      </c>
      <c r="H5" s="76" t="s">
        <v>287</v>
      </c>
      <c r="I5" s="200">
        <v>2</v>
      </c>
      <c r="J5" s="50" t="s">
        <v>263</v>
      </c>
      <c r="K5" s="61" t="s">
        <v>36</v>
      </c>
      <c r="L5" s="61" t="s">
        <v>36</v>
      </c>
      <c r="M5" s="242">
        <v>2</v>
      </c>
      <c r="N5" s="448">
        <v>2</v>
      </c>
      <c r="O5" s="678">
        <f>IF((K5=L5)=TRUE,0,1)</f>
        <v>0</v>
      </c>
      <c r="P5" s="512">
        <f t="shared" ref="P5:P63" si="3">M5-N5</f>
        <v>0</v>
      </c>
      <c r="Q5" s="552">
        <f t="shared" si="0"/>
        <v>0</v>
      </c>
      <c r="R5" s="552">
        <f t="shared" ref="R5:R66" si="4">Q5*100%</f>
        <v>0</v>
      </c>
      <c r="S5" s="552">
        <f t="shared" ref="S5:S66" si="5">R5/9</f>
        <v>0</v>
      </c>
      <c r="T5" s="552">
        <f t="shared" ref="T5:T66" si="6">S5/2</f>
        <v>0</v>
      </c>
      <c r="U5" s="257"/>
      <c r="V5" s="748"/>
      <c r="W5" s="724">
        <v>1</v>
      </c>
      <c r="X5" s="724">
        <f t="shared" si="1"/>
        <v>2</v>
      </c>
      <c r="Y5" s="583">
        <v>0</v>
      </c>
      <c r="Z5" s="583"/>
      <c r="AA5" s="583">
        <v>0</v>
      </c>
      <c r="AB5" s="724">
        <f t="shared" si="2"/>
        <v>2</v>
      </c>
      <c r="AC5" s="583"/>
      <c r="AD5" s="583"/>
      <c r="AE5" s="585"/>
      <c r="AF5" s="585"/>
      <c r="AG5" s="585" t="s">
        <v>36</v>
      </c>
      <c r="AH5" s="585" t="s">
        <v>37</v>
      </c>
      <c r="AI5" s="585"/>
      <c r="AJ5" s="585" t="str">
        <f t="shared" ref="AJ5:AJ62" si="7">AE5&amp;AF5</f>
        <v/>
      </c>
      <c r="AK5" s="585"/>
    </row>
    <row r="6" spans="1:37" s="2" customFormat="1" ht="15.6" customHeight="1">
      <c r="A6" s="358" t="s">
        <v>326</v>
      </c>
      <c r="B6" s="358" t="s">
        <v>327</v>
      </c>
      <c r="C6" s="11">
        <v>3</v>
      </c>
      <c r="D6" s="20" t="s">
        <v>38</v>
      </c>
      <c r="E6" s="483" t="s">
        <v>260</v>
      </c>
      <c r="F6" s="5" t="s">
        <v>260</v>
      </c>
      <c r="G6" s="642" t="s">
        <v>486</v>
      </c>
      <c r="H6" s="76" t="s">
        <v>287</v>
      </c>
      <c r="I6" s="200">
        <v>2</v>
      </c>
      <c r="J6" s="50"/>
      <c r="K6" s="275">
        <v>5.51</v>
      </c>
      <c r="L6" s="275">
        <v>5.47</v>
      </c>
      <c r="M6" s="242">
        <f>IF(K6&gt;=5,2,0)</f>
        <v>2</v>
      </c>
      <c r="N6" s="448">
        <f>IF(L6&gt;=5,2,0)</f>
        <v>2</v>
      </c>
      <c r="O6" s="678">
        <f>IF(AND(L6=0,K6&lt;&gt;0),1,IF(AND(L6=0,K6=0),0,K6/L6-1))</f>
        <v>7.3126142595978383E-3</v>
      </c>
      <c r="P6" s="512">
        <f t="shared" si="3"/>
        <v>0</v>
      </c>
      <c r="Q6" s="552">
        <f t="shared" si="0"/>
        <v>0</v>
      </c>
      <c r="R6" s="552">
        <f t="shared" si="4"/>
        <v>0</v>
      </c>
      <c r="S6" s="552">
        <f t="shared" si="5"/>
        <v>0</v>
      </c>
      <c r="T6" s="552">
        <f t="shared" si="6"/>
        <v>0</v>
      </c>
      <c r="U6" s="745"/>
      <c r="V6" s="748"/>
      <c r="W6" s="724">
        <v>1</v>
      </c>
      <c r="X6" s="724">
        <f t="shared" si="1"/>
        <v>2</v>
      </c>
      <c r="Y6" s="583">
        <v>0</v>
      </c>
      <c r="Z6" s="583"/>
      <c r="AA6" s="583">
        <v>0</v>
      </c>
      <c r="AB6" s="724">
        <f t="shared" si="2"/>
        <v>2</v>
      </c>
      <c r="AC6" s="583"/>
      <c r="AD6" s="583"/>
      <c r="AE6" s="585"/>
      <c r="AF6" s="585"/>
      <c r="AG6" s="585"/>
      <c r="AH6" s="585"/>
      <c r="AI6" s="585"/>
      <c r="AJ6" s="585" t="str">
        <f t="shared" si="7"/>
        <v/>
      </c>
      <c r="AK6" s="585"/>
    </row>
    <row r="7" spans="1:37" s="2" customFormat="1" ht="15.6" customHeight="1">
      <c r="A7" s="1683" t="s">
        <v>328</v>
      </c>
      <c r="B7" s="1683" t="s">
        <v>329</v>
      </c>
      <c r="C7" s="11">
        <v>4</v>
      </c>
      <c r="D7" s="20" t="s">
        <v>39</v>
      </c>
      <c r="E7" s="483" t="s">
        <v>260</v>
      </c>
      <c r="F7" s="5" t="s">
        <v>260</v>
      </c>
      <c r="G7" s="642" t="s">
        <v>486</v>
      </c>
      <c r="H7" s="1583" t="s">
        <v>287</v>
      </c>
      <c r="I7" s="1592">
        <v>1</v>
      </c>
      <c r="J7" s="50" t="s">
        <v>264</v>
      </c>
      <c r="K7" s="61" t="s">
        <v>40</v>
      </c>
      <c r="L7" s="61" t="s">
        <v>40</v>
      </c>
      <c r="M7" s="1681">
        <v>1</v>
      </c>
      <c r="N7" s="1681">
        <v>1</v>
      </c>
      <c r="O7" s="678">
        <f>IF((K7=L7)=TRUE,0,1)</f>
        <v>0</v>
      </c>
      <c r="P7" s="512">
        <f t="shared" si="3"/>
        <v>0</v>
      </c>
      <c r="Q7" s="552">
        <f t="shared" si="0"/>
        <v>0</v>
      </c>
      <c r="R7" s="552">
        <f t="shared" si="4"/>
        <v>0</v>
      </c>
      <c r="S7" s="552">
        <f t="shared" si="5"/>
        <v>0</v>
      </c>
      <c r="T7" s="552">
        <f t="shared" si="6"/>
        <v>0</v>
      </c>
      <c r="U7" s="745"/>
      <c r="V7" s="748"/>
      <c r="W7" s="724">
        <v>1</v>
      </c>
      <c r="X7" s="724">
        <f t="shared" si="1"/>
        <v>1</v>
      </c>
      <c r="Y7" s="583">
        <v>0</v>
      </c>
      <c r="Z7" s="583"/>
      <c r="AA7" s="583">
        <v>0</v>
      </c>
      <c r="AB7" s="724">
        <f t="shared" si="2"/>
        <v>1</v>
      </c>
      <c r="AC7" s="583"/>
      <c r="AD7" s="583"/>
      <c r="AE7" s="585"/>
      <c r="AF7" s="585"/>
      <c r="AG7" s="585" t="s">
        <v>40</v>
      </c>
      <c r="AH7" s="585" t="s">
        <v>41</v>
      </c>
      <c r="AI7" s="585" t="s">
        <v>42</v>
      </c>
      <c r="AJ7" s="585" t="str">
        <f t="shared" si="7"/>
        <v/>
      </c>
      <c r="AK7" s="585"/>
    </row>
    <row r="8" spans="1:37" s="2" customFormat="1" ht="15.6" customHeight="1">
      <c r="A8" s="1575"/>
      <c r="B8" s="1575"/>
      <c r="C8" s="11">
        <v>5</v>
      </c>
      <c r="D8" s="20" t="s">
        <v>43</v>
      </c>
      <c r="E8" s="483" t="s">
        <v>260</v>
      </c>
      <c r="F8" s="5" t="s">
        <v>260</v>
      </c>
      <c r="G8" s="642" t="s">
        <v>486</v>
      </c>
      <c r="H8" s="1583"/>
      <c r="I8" s="1592"/>
      <c r="J8" s="50" t="s">
        <v>264</v>
      </c>
      <c r="K8" s="61" t="s">
        <v>44</v>
      </c>
      <c r="L8" s="61" t="s">
        <v>44</v>
      </c>
      <c r="M8" s="1682"/>
      <c r="N8" s="1682"/>
      <c r="O8" s="678">
        <f>IF((K8=L8)=TRUE,0,1)</f>
        <v>0</v>
      </c>
      <c r="P8" s="512">
        <f t="shared" si="3"/>
        <v>0</v>
      </c>
      <c r="Q8" s="552">
        <f t="shared" si="0"/>
        <v>0</v>
      </c>
      <c r="R8" s="552">
        <f t="shared" si="4"/>
        <v>0</v>
      </c>
      <c r="S8" s="552">
        <f t="shared" si="5"/>
        <v>0</v>
      </c>
      <c r="T8" s="552">
        <f t="shared" si="6"/>
        <v>0</v>
      </c>
      <c r="U8" s="745"/>
      <c r="V8" s="748"/>
      <c r="W8" s="724">
        <v>1</v>
      </c>
      <c r="X8" s="724">
        <f t="shared" si="1"/>
        <v>0</v>
      </c>
      <c r="Y8" s="583">
        <v>0</v>
      </c>
      <c r="Z8" s="583"/>
      <c r="AA8" s="583">
        <v>0</v>
      </c>
      <c r="AB8" s="724">
        <f t="shared" si="2"/>
        <v>0</v>
      </c>
      <c r="AC8" s="583"/>
      <c r="AD8" s="583"/>
      <c r="AE8" s="585"/>
      <c r="AF8" s="585"/>
      <c r="AG8" s="585" t="s">
        <v>44</v>
      </c>
      <c r="AH8" s="585" t="s">
        <v>45</v>
      </c>
      <c r="AI8" s="585" t="s">
        <v>42</v>
      </c>
      <c r="AJ8" s="585" t="str">
        <f t="shared" si="7"/>
        <v/>
      </c>
      <c r="AK8" s="585"/>
    </row>
    <row r="9" spans="1:37" s="2" customFormat="1" ht="15.6" customHeight="1">
      <c r="A9" s="1683" t="s">
        <v>1176</v>
      </c>
      <c r="B9" s="1683" t="s">
        <v>330</v>
      </c>
      <c r="C9" s="11">
        <v>6</v>
      </c>
      <c r="D9" s="20" t="s">
        <v>46</v>
      </c>
      <c r="E9" s="483"/>
      <c r="F9" s="5"/>
      <c r="G9" s="642" t="s">
        <v>486</v>
      </c>
      <c r="H9" s="76" t="s">
        <v>287</v>
      </c>
      <c r="I9" s="200">
        <v>1</v>
      </c>
      <c r="J9" s="50"/>
      <c r="K9" s="738">
        <f>IF(K11=0,"",K10/K11)</f>
        <v>1</v>
      </c>
      <c r="L9" s="738">
        <f>IF(L11=0,"",L10/L11)</f>
        <v>1</v>
      </c>
      <c r="M9" s="238">
        <f>IF(K9&gt;=0.25,1,0)</f>
        <v>1</v>
      </c>
      <c r="N9" s="467">
        <f>IF(L9&gt;=0.25,1,0)</f>
        <v>1</v>
      </c>
      <c r="O9" s="678">
        <f t="shared" ref="O9:O20" si="8">IF(AND(L9=0,K9&lt;&gt;0),1,IF(AND(L9=0,K9=0),0,K9/L9-1))</f>
        <v>0</v>
      </c>
      <c r="P9" s="512">
        <f t="shared" si="3"/>
        <v>0</v>
      </c>
      <c r="Q9" s="552">
        <f t="shared" si="0"/>
        <v>0</v>
      </c>
      <c r="R9" s="552">
        <f t="shared" si="4"/>
        <v>0</v>
      </c>
      <c r="S9" s="552">
        <f t="shared" si="5"/>
        <v>0</v>
      </c>
      <c r="T9" s="552">
        <f t="shared" si="6"/>
        <v>0</v>
      </c>
      <c r="U9" s="745"/>
      <c r="V9" s="748"/>
      <c r="W9" s="724">
        <v>0.5</v>
      </c>
      <c r="X9" s="724">
        <f t="shared" si="1"/>
        <v>1</v>
      </c>
      <c r="Y9" s="583">
        <v>0</v>
      </c>
      <c r="Z9" s="583"/>
      <c r="AA9" s="583">
        <v>0</v>
      </c>
      <c r="AB9" s="724">
        <f t="shared" si="2"/>
        <v>1</v>
      </c>
      <c r="AC9" s="583">
        <v>0.5</v>
      </c>
      <c r="AD9" s="583"/>
      <c r="AE9" s="734" t="s">
        <v>1700</v>
      </c>
      <c r="AF9" s="585"/>
      <c r="AG9" s="585"/>
      <c r="AH9" s="585"/>
      <c r="AI9" s="585"/>
      <c r="AJ9" s="585" t="str">
        <f t="shared" si="7"/>
        <v>投资、风险各0.5权重</v>
      </c>
      <c r="AK9" s="585"/>
    </row>
    <row r="10" spans="1:37" s="2" customFormat="1" ht="15.6" customHeight="1">
      <c r="A10" s="1574"/>
      <c r="B10" s="1574"/>
      <c r="C10" s="6">
        <v>6.1</v>
      </c>
      <c r="D10" s="17" t="s">
        <v>47</v>
      </c>
      <c r="E10" s="483" t="s">
        <v>260</v>
      </c>
      <c r="F10" s="5" t="s">
        <v>260</v>
      </c>
      <c r="G10" s="642"/>
      <c r="H10" s="58"/>
      <c r="I10" s="200"/>
      <c r="J10" s="48" t="s">
        <v>2032</v>
      </c>
      <c r="K10" s="61">
        <v>5</v>
      </c>
      <c r="L10" s="61">
        <v>5</v>
      </c>
      <c r="M10" s="238"/>
      <c r="N10" s="448"/>
      <c r="O10" s="678">
        <f t="shared" si="8"/>
        <v>0</v>
      </c>
      <c r="P10" s="512">
        <f t="shared" si="3"/>
        <v>0</v>
      </c>
      <c r="Q10" s="552">
        <f t="shared" si="0"/>
        <v>0</v>
      </c>
      <c r="R10" s="552">
        <f t="shared" si="4"/>
        <v>0</v>
      </c>
      <c r="S10" s="552">
        <f t="shared" si="5"/>
        <v>0</v>
      </c>
      <c r="T10" s="552">
        <f t="shared" si="6"/>
        <v>0</v>
      </c>
      <c r="U10" s="745"/>
      <c r="V10" s="748"/>
      <c r="W10" s="724"/>
      <c r="X10" s="724">
        <f t="shared" si="1"/>
        <v>0</v>
      </c>
      <c r="Y10" s="583">
        <v>0</v>
      </c>
      <c r="Z10" s="583"/>
      <c r="AA10" s="583">
        <v>0</v>
      </c>
      <c r="AB10" s="724">
        <f t="shared" si="2"/>
        <v>0</v>
      </c>
      <c r="AC10" s="583"/>
      <c r="AD10" s="583"/>
      <c r="AE10" s="585"/>
      <c r="AF10" s="585"/>
      <c r="AG10" s="585"/>
      <c r="AH10" s="585"/>
      <c r="AI10" s="585"/>
      <c r="AJ10" s="585" t="str">
        <f t="shared" si="7"/>
        <v/>
      </c>
      <c r="AK10" s="585"/>
    </row>
    <row r="11" spans="1:37" s="2" customFormat="1" ht="15.6" customHeight="1">
      <c r="A11" s="1575"/>
      <c r="B11" s="1575"/>
      <c r="C11" s="6">
        <v>6.2</v>
      </c>
      <c r="D11" s="17" t="s">
        <v>48</v>
      </c>
      <c r="E11" s="483" t="s">
        <v>260</v>
      </c>
      <c r="F11" s="5" t="s">
        <v>260</v>
      </c>
      <c r="G11" s="642"/>
      <c r="H11" s="58"/>
      <c r="I11" s="200"/>
      <c r="J11" s="48" t="s">
        <v>2033</v>
      </c>
      <c r="K11" s="739">
        <v>5</v>
      </c>
      <c r="L11" s="739">
        <v>5</v>
      </c>
      <c r="M11" s="238"/>
      <c r="N11" s="448"/>
      <c r="O11" s="678">
        <f t="shared" si="8"/>
        <v>0</v>
      </c>
      <c r="P11" s="512">
        <f t="shared" si="3"/>
        <v>0</v>
      </c>
      <c r="Q11" s="552">
        <f t="shared" si="0"/>
        <v>0</v>
      </c>
      <c r="R11" s="552">
        <f t="shared" si="4"/>
        <v>0</v>
      </c>
      <c r="S11" s="552">
        <f t="shared" si="5"/>
        <v>0</v>
      </c>
      <c r="T11" s="552">
        <f t="shared" si="6"/>
        <v>0</v>
      </c>
      <c r="U11" s="745"/>
      <c r="V11" s="748"/>
      <c r="W11" s="724"/>
      <c r="X11" s="724">
        <f t="shared" si="1"/>
        <v>0</v>
      </c>
      <c r="Y11" s="583">
        <v>0</v>
      </c>
      <c r="Z11" s="583"/>
      <c r="AA11" s="583">
        <v>0</v>
      </c>
      <c r="AB11" s="724">
        <f t="shared" si="2"/>
        <v>0</v>
      </c>
      <c r="AC11" s="583"/>
      <c r="AD11" s="583"/>
      <c r="AE11" s="585"/>
      <c r="AF11" s="585"/>
      <c r="AG11" s="585"/>
      <c r="AH11" s="585"/>
      <c r="AI11" s="585"/>
      <c r="AJ11" s="585" t="str">
        <f t="shared" si="7"/>
        <v/>
      </c>
      <c r="AK11" s="585"/>
    </row>
    <row r="12" spans="1:37" s="2" customFormat="1" ht="15.6" customHeight="1">
      <c r="A12" s="1683" t="s">
        <v>331</v>
      </c>
      <c r="B12" s="1683" t="s">
        <v>332</v>
      </c>
      <c r="C12" s="11">
        <v>7</v>
      </c>
      <c r="D12" s="20" t="s">
        <v>49</v>
      </c>
      <c r="E12" s="483"/>
      <c r="F12" s="5"/>
      <c r="G12" s="642" t="s">
        <v>1891</v>
      </c>
      <c r="H12" s="76" t="s">
        <v>287</v>
      </c>
      <c r="I12" s="200">
        <v>2</v>
      </c>
      <c r="J12" s="50"/>
      <c r="K12" s="740">
        <f>K13/(K14+K15)</f>
        <v>0.18518518518518517</v>
      </c>
      <c r="L12" s="740">
        <f>L13/(L14+L15)</f>
        <v>0.18518518518518517</v>
      </c>
      <c r="M12" s="238">
        <f>IF(K12&lt;0.2,2,IF(I12&lt;0.3,1,0))</f>
        <v>2</v>
      </c>
      <c r="N12" s="467">
        <f>IF(L12&lt;0.2,2,IF(M12&lt;0.3,1,0))</f>
        <v>2</v>
      </c>
      <c r="O12" s="678">
        <f t="shared" si="8"/>
        <v>0</v>
      </c>
      <c r="P12" s="512">
        <f t="shared" si="3"/>
        <v>0</v>
      </c>
      <c r="Q12" s="552">
        <f t="shared" si="0"/>
        <v>0</v>
      </c>
      <c r="R12" s="552">
        <f t="shared" si="4"/>
        <v>0</v>
      </c>
      <c r="S12" s="552">
        <f t="shared" si="5"/>
        <v>0</v>
      </c>
      <c r="T12" s="552">
        <f t="shared" si="6"/>
        <v>0</v>
      </c>
      <c r="U12" s="745"/>
      <c r="V12" s="748"/>
      <c r="W12" s="724">
        <v>1</v>
      </c>
      <c r="X12" s="724">
        <f t="shared" si="1"/>
        <v>2</v>
      </c>
      <c r="Y12" s="583">
        <v>0</v>
      </c>
      <c r="Z12" s="583"/>
      <c r="AA12" s="583">
        <v>0</v>
      </c>
      <c r="AB12" s="724">
        <f t="shared" si="2"/>
        <v>2</v>
      </c>
      <c r="AC12" s="583"/>
      <c r="AD12" s="583"/>
      <c r="AE12" s="734"/>
      <c r="AF12" s="585"/>
      <c r="AG12" s="585"/>
      <c r="AH12" s="585"/>
      <c r="AI12" s="585"/>
      <c r="AJ12" s="585" t="str">
        <f t="shared" si="7"/>
        <v/>
      </c>
      <c r="AK12" s="585"/>
    </row>
    <row r="13" spans="1:37" s="2" customFormat="1" ht="15.6" customHeight="1">
      <c r="A13" s="1574"/>
      <c r="B13" s="1574"/>
      <c r="C13" s="6">
        <v>7.1</v>
      </c>
      <c r="D13" s="17" t="s">
        <v>50</v>
      </c>
      <c r="E13" s="483" t="s">
        <v>260</v>
      </c>
      <c r="F13" s="5" t="s">
        <v>260</v>
      </c>
      <c r="G13" s="642"/>
      <c r="H13" s="58"/>
      <c r="I13" s="200"/>
      <c r="J13" s="48" t="s">
        <v>1729</v>
      </c>
      <c r="K13" s="61">
        <v>5</v>
      </c>
      <c r="L13" s="61">
        <v>5</v>
      </c>
      <c r="M13" s="238"/>
      <c r="N13" s="448"/>
      <c r="O13" s="678">
        <f t="shared" si="8"/>
        <v>0</v>
      </c>
      <c r="P13" s="512">
        <f t="shared" si="3"/>
        <v>0</v>
      </c>
      <c r="Q13" s="552">
        <f t="shared" si="0"/>
        <v>0</v>
      </c>
      <c r="R13" s="552">
        <f t="shared" si="4"/>
        <v>0</v>
      </c>
      <c r="S13" s="552">
        <f t="shared" si="5"/>
        <v>0</v>
      </c>
      <c r="T13" s="552">
        <f t="shared" si="6"/>
        <v>0</v>
      </c>
      <c r="U13" s="745"/>
      <c r="V13" s="748"/>
      <c r="W13" s="724"/>
      <c r="X13" s="724">
        <f t="shared" si="1"/>
        <v>0</v>
      </c>
      <c r="Y13" s="583">
        <v>0</v>
      </c>
      <c r="Z13" s="583"/>
      <c r="AA13" s="583">
        <v>0</v>
      </c>
      <c r="AB13" s="724">
        <f t="shared" si="2"/>
        <v>0</v>
      </c>
      <c r="AC13" s="583"/>
      <c r="AD13" s="583"/>
      <c r="AE13" s="585"/>
      <c r="AF13" s="585"/>
      <c r="AG13" s="585"/>
      <c r="AH13" s="585"/>
      <c r="AI13" s="585"/>
      <c r="AJ13" s="585" t="str">
        <f t="shared" si="7"/>
        <v/>
      </c>
      <c r="AK13" s="585"/>
    </row>
    <row r="14" spans="1:37" s="2" customFormat="1" ht="15.6" customHeight="1">
      <c r="A14" s="1574"/>
      <c r="B14" s="1574"/>
      <c r="C14" s="6">
        <v>7.2</v>
      </c>
      <c r="D14" s="17" t="s">
        <v>51</v>
      </c>
      <c r="E14" s="483" t="s">
        <v>260</v>
      </c>
      <c r="F14" s="5" t="s">
        <v>260</v>
      </c>
      <c r="G14" s="642"/>
      <c r="H14" s="58"/>
      <c r="I14" s="200"/>
      <c r="J14" s="48" t="s">
        <v>1729</v>
      </c>
      <c r="K14" s="61">
        <v>20</v>
      </c>
      <c r="L14" s="61">
        <v>19</v>
      </c>
      <c r="M14" s="238"/>
      <c r="N14" s="448"/>
      <c r="O14" s="678">
        <f t="shared" si="8"/>
        <v>5.2631578947368363E-2</v>
      </c>
      <c r="P14" s="512">
        <f t="shared" si="3"/>
        <v>0</v>
      </c>
      <c r="Q14" s="552">
        <f t="shared" si="0"/>
        <v>0</v>
      </c>
      <c r="R14" s="552">
        <f t="shared" si="4"/>
        <v>0</v>
      </c>
      <c r="S14" s="552">
        <f t="shared" si="5"/>
        <v>0</v>
      </c>
      <c r="T14" s="552">
        <f t="shared" si="6"/>
        <v>0</v>
      </c>
      <c r="U14" s="745"/>
      <c r="V14" s="748"/>
      <c r="W14" s="724"/>
      <c r="X14" s="724">
        <f t="shared" si="1"/>
        <v>0</v>
      </c>
      <c r="Y14" s="583">
        <v>0</v>
      </c>
      <c r="Z14" s="583"/>
      <c r="AA14" s="583">
        <v>0</v>
      </c>
      <c r="AB14" s="724">
        <f t="shared" si="2"/>
        <v>0</v>
      </c>
      <c r="AC14" s="583"/>
      <c r="AD14" s="583"/>
      <c r="AE14" s="585"/>
      <c r="AF14" s="585"/>
      <c r="AG14" s="585"/>
      <c r="AH14" s="585"/>
      <c r="AI14" s="585"/>
      <c r="AJ14" s="585" t="str">
        <f t="shared" si="7"/>
        <v/>
      </c>
      <c r="AK14" s="585"/>
    </row>
    <row r="15" spans="1:37" s="2" customFormat="1" ht="15.6" customHeight="1">
      <c r="A15" s="1575"/>
      <c r="B15" s="1575"/>
      <c r="C15" s="6">
        <v>7.3</v>
      </c>
      <c r="D15" s="17" t="s">
        <v>52</v>
      </c>
      <c r="E15" s="483" t="s">
        <v>260</v>
      </c>
      <c r="F15" s="5" t="s">
        <v>260</v>
      </c>
      <c r="G15" s="642"/>
      <c r="H15" s="58"/>
      <c r="I15" s="200"/>
      <c r="J15" s="48" t="s">
        <v>1729</v>
      </c>
      <c r="K15" s="61">
        <v>7</v>
      </c>
      <c r="L15" s="61">
        <v>8</v>
      </c>
      <c r="M15" s="238"/>
      <c r="N15" s="448"/>
      <c r="O15" s="678">
        <f t="shared" si="8"/>
        <v>-0.125</v>
      </c>
      <c r="P15" s="512">
        <f t="shared" si="3"/>
        <v>0</v>
      </c>
      <c r="Q15" s="552">
        <f t="shared" si="0"/>
        <v>0</v>
      </c>
      <c r="R15" s="552">
        <f t="shared" si="4"/>
        <v>0</v>
      </c>
      <c r="S15" s="552">
        <f t="shared" si="5"/>
        <v>0</v>
      </c>
      <c r="T15" s="552">
        <f t="shared" si="6"/>
        <v>0</v>
      </c>
      <c r="U15" s="745"/>
      <c r="V15" s="748"/>
      <c r="W15" s="724"/>
      <c r="X15" s="724">
        <f t="shared" si="1"/>
        <v>0</v>
      </c>
      <c r="Y15" s="583">
        <v>0</v>
      </c>
      <c r="Z15" s="583"/>
      <c r="AA15" s="583">
        <v>0</v>
      </c>
      <c r="AB15" s="724">
        <f t="shared" si="2"/>
        <v>0</v>
      </c>
      <c r="AC15" s="583"/>
      <c r="AD15" s="583"/>
      <c r="AE15" s="585"/>
      <c r="AF15" s="585"/>
      <c r="AG15" s="585"/>
      <c r="AH15" s="585"/>
      <c r="AI15" s="585"/>
      <c r="AJ15" s="585" t="str">
        <f t="shared" si="7"/>
        <v/>
      </c>
      <c r="AK15" s="585"/>
    </row>
    <row r="16" spans="1:37" s="2" customFormat="1" ht="15.6" customHeight="1">
      <c r="A16" s="1683" t="s">
        <v>333</v>
      </c>
      <c r="B16" s="1683" t="s">
        <v>334</v>
      </c>
      <c r="C16" s="11">
        <v>8</v>
      </c>
      <c r="D16" s="20" t="s">
        <v>53</v>
      </c>
      <c r="E16" s="483" t="s">
        <v>260</v>
      </c>
      <c r="F16" s="5" t="s">
        <v>260</v>
      </c>
      <c r="G16" s="642" t="s">
        <v>1891</v>
      </c>
      <c r="H16" s="1583" t="s">
        <v>287</v>
      </c>
      <c r="I16" s="1592">
        <v>1</v>
      </c>
      <c r="J16" s="50"/>
      <c r="K16" s="61">
        <v>4</v>
      </c>
      <c r="L16" s="61">
        <v>4</v>
      </c>
      <c r="M16" s="1583">
        <f>IF(K17&gt;=1,1,0)</f>
        <v>1</v>
      </c>
      <c r="N16" s="1583">
        <f>IF(L17&gt;=1,1,0)</f>
        <v>1</v>
      </c>
      <c r="O16" s="678">
        <f t="shared" si="8"/>
        <v>0</v>
      </c>
      <c r="P16" s="512">
        <f t="shared" si="3"/>
        <v>0</v>
      </c>
      <c r="Q16" s="552">
        <f t="shared" si="0"/>
        <v>0</v>
      </c>
      <c r="R16" s="552">
        <f t="shared" si="4"/>
        <v>0</v>
      </c>
      <c r="S16" s="552">
        <f t="shared" si="5"/>
        <v>0</v>
      </c>
      <c r="T16" s="552">
        <f t="shared" si="6"/>
        <v>0</v>
      </c>
      <c r="U16" s="745"/>
      <c r="V16" s="748"/>
      <c r="W16" s="724">
        <v>0</v>
      </c>
      <c r="X16" s="724">
        <f t="shared" si="1"/>
        <v>1</v>
      </c>
      <c r="Y16" s="583">
        <v>0</v>
      </c>
      <c r="Z16" s="583"/>
      <c r="AA16" s="583">
        <v>0</v>
      </c>
      <c r="AB16" s="724">
        <f t="shared" si="2"/>
        <v>1</v>
      </c>
      <c r="AC16" s="583"/>
      <c r="AD16" s="583">
        <v>1</v>
      </c>
      <c r="AE16" s="1678" t="s">
        <v>1696</v>
      </c>
      <c r="AF16" s="585"/>
      <c r="AG16" s="585"/>
      <c r="AH16" s="585"/>
      <c r="AI16" s="585"/>
      <c r="AJ16" s="585" t="str">
        <f t="shared" si="7"/>
        <v>改为HR1.0权重，投资0权重</v>
      </c>
      <c r="AK16" s="585"/>
    </row>
    <row r="17" spans="1:37" s="2" customFormat="1" ht="14.25">
      <c r="A17" s="1575"/>
      <c r="B17" s="1575"/>
      <c r="C17" s="11">
        <v>9</v>
      </c>
      <c r="D17" s="20" t="s">
        <v>54</v>
      </c>
      <c r="E17" s="483" t="s">
        <v>260</v>
      </c>
      <c r="F17" s="5" t="s">
        <v>260</v>
      </c>
      <c r="G17" s="642" t="s">
        <v>1891</v>
      </c>
      <c r="H17" s="1583"/>
      <c r="I17" s="1592"/>
      <c r="J17" s="989" t="s">
        <v>2034</v>
      </c>
      <c r="K17" s="61">
        <v>14</v>
      </c>
      <c r="L17" s="61">
        <v>21</v>
      </c>
      <c r="M17" s="1583"/>
      <c r="N17" s="1583"/>
      <c r="O17" s="678">
        <f t="shared" si="8"/>
        <v>-0.33333333333333337</v>
      </c>
      <c r="P17" s="512">
        <f t="shared" si="3"/>
        <v>0</v>
      </c>
      <c r="Q17" s="552">
        <f t="shared" si="0"/>
        <v>0</v>
      </c>
      <c r="R17" s="552">
        <f t="shared" si="4"/>
        <v>0</v>
      </c>
      <c r="S17" s="552">
        <f t="shared" si="5"/>
        <v>0</v>
      </c>
      <c r="T17" s="552">
        <f t="shared" si="6"/>
        <v>0</v>
      </c>
      <c r="U17" s="745"/>
      <c r="V17" s="748"/>
      <c r="W17" s="724">
        <v>0</v>
      </c>
      <c r="X17" s="724">
        <f t="shared" si="1"/>
        <v>0</v>
      </c>
      <c r="Y17" s="583">
        <v>0</v>
      </c>
      <c r="Z17" s="583"/>
      <c r="AA17" s="583">
        <v>0</v>
      </c>
      <c r="AB17" s="724">
        <f t="shared" si="2"/>
        <v>0</v>
      </c>
      <c r="AC17" s="583"/>
      <c r="AD17" s="583"/>
      <c r="AE17" s="1678"/>
      <c r="AF17" s="585"/>
      <c r="AG17" s="585"/>
      <c r="AH17" s="585"/>
      <c r="AI17" s="585"/>
      <c r="AJ17" s="585" t="str">
        <f t="shared" si="7"/>
        <v/>
      </c>
      <c r="AK17" s="585"/>
    </row>
    <row r="18" spans="1:37" s="2" customFormat="1" ht="14.25">
      <c r="A18" s="1683" t="s">
        <v>562</v>
      </c>
      <c r="B18" s="1683" t="s">
        <v>335</v>
      </c>
      <c r="C18" s="11">
        <v>10</v>
      </c>
      <c r="D18" s="20" t="s">
        <v>2118</v>
      </c>
      <c r="E18" s="483"/>
      <c r="F18" s="5"/>
      <c r="G18" s="642" t="s">
        <v>1891</v>
      </c>
      <c r="H18" s="76" t="s">
        <v>287</v>
      </c>
      <c r="I18" s="200">
        <v>1</v>
      </c>
      <c r="J18" s="50"/>
      <c r="K18" s="741">
        <f>K19/K20</f>
        <v>4.0454545454545459</v>
      </c>
      <c r="L18" s="741">
        <f>L19/L20</f>
        <v>2.1363636363636362</v>
      </c>
      <c r="M18" s="242">
        <f>IF(K18&gt;=2,1,0)</f>
        <v>1</v>
      </c>
      <c r="N18" s="467">
        <f>IF(L18&gt;=2,1,0)</f>
        <v>1</v>
      </c>
      <c r="O18" s="678">
        <f t="shared" si="8"/>
        <v>0.89361702127659615</v>
      </c>
      <c r="P18" s="512">
        <f t="shared" si="3"/>
        <v>0</v>
      </c>
      <c r="Q18" s="552">
        <f t="shared" si="0"/>
        <v>0</v>
      </c>
      <c r="R18" s="552">
        <f t="shared" si="4"/>
        <v>0</v>
      </c>
      <c r="S18" s="552">
        <f t="shared" si="5"/>
        <v>0</v>
      </c>
      <c r="T18" s="552">
        <f t="shared" si="6"/>
        <v>0</v>
      </c>
      <c r="U18" s="745"/>
      <c r="V18" s="748"/>
      <c r="W18" s="724">
        <v>1</v>
      </c>
      <c r="X18" s="724">
        <f t="shared" si="1"/>
        <v>1</v>
      </c>
      <c r="Y18" s="583">
        <v>0</v>
      </c>
      <c r="Z18" s="583"/>
      <c r="AA18" s="583">
        <v>0</v>
      </c>
      <c r="AB18" s="724">
        <f t="shared" si="2"/>
        <v>1</v>
      </c>
      <c r="AC18" s="583"/>
      <c r="AD18" s="583"/>
      <c r="AE18" s="585"/>
      <c r="AF18" s="585"/>
      <c r="AG18" s="585"/>
      <c r="AH18" s="585"/>
      <c r="AI18" s="585"/>
      <c r="AJ18" s="585" t="str">
        <f t="shared" si="7"/>
        <v/>
      </c>
      <c r="AK18" s="585"/>
    </row>
    <row r="19" spans="1:37" s="2" customFormat="1" ht="15.6" customHeight="1">
      <c r="A19" s="1574"/>
      <c r="B19" s="1574"/>
      <c r="C19" s="6">
        <v>10.1</v>
      </c>
      <c r="D19" s="17" t="s">
        <v>56</v>
      </c>
      <c r="E19" s="483" t="s">
        <v>260</v>
      </c>
      <c r="F19" s="5" t="s">
        <v>260</v>
      </c>
      <c r="G19" s="642"/>
      <c r="H19" s="58"/>
      <c r="I19" s="200"/>
      <c r="J19" s="989" t="s">
        <v>2035</v>
      </c>
      <c r="K19" s="61">
        <v>89</v>
      </c>
      <c r="L19" s="61">
        <v>47</v>
      </c>
      <c r="M19" s="238"/>
      <c r="N19" s="188"/>
      <c r="O19" s="678">
        <f t="shared" si="8"/>
        <v>0.8936170212765957</v>
      </c>
      <c r="P19" s="512">
        <f t="shared" si="3"/>
        <v>0</v>
      </c>
      <c r="Q19" s="552">
        <f t="shared" si="0"/>
        <v>0</v>
      </c>
      <c r="R19" s="552">
        <f t="shared" si="4"/>
        <v>0</v>
      </c>
      <c r="S19" s="552">
        <f t="shared" si="5"/>
        <v>0</v>
      </c>
      <c r="T19" s="552">
        <f t="shared" si="6"/>
        <v>0</v>
      </c>
      <c r="U19" s="745"/>
      <c r="V19" s="748"/>
      <c r="W19" s="724"/>
      <c r="X19" s="724">
        <f t="shared" si="1"/>
        <v>0</v>
      </c>
      <c r="Y19" s="583">
        <v>0</v>
      </c>
      <c r="Z19" s="583"/>
      <c r="AA19" s="583">
        <v>0</v>
      </c>
      <c r="AB19" s="724">
        <f t="shared" si="2"/>
        <v>0</v>
      </c>
      <c r="AC19" s="583"/>
      <c r="AD19" s="583"/>
      <c r="AE19" s="585"/>
      <c r="AF19" s="585"/>
      <c r="AG19" s="585"/>
      <c r="AH19" s="585"/>
      <c r="AI19" s="585"/>
      <c r="AJ19" s="585" t="str">
        <f t="shared" si="7"/>
        <v/>
      </c>
      <c r="AK19" s="585"/>
    </row>
    <row r="20" spans="1:37" s="2" customFormat="1" ht="15.6" customHeight="1">
      <c r="A20" s="1575"/>
      <c r="B20" s="1575"/>
      <c r="C20" s="6">
        <v>10.199999999999999</v>
      </c>
      <c r="D20" s="17" t="s">
        <v>57</v>
      </c>
      <c r="E20" s="483" t="s">
        <v>260</v>
      </c>
      <c r="F20" s="5" t="s">
        <v>260</v>
      </c>
      <c r="G20" s="642"/>
      <c r="H20" s="58"/>
      <c r="I20" s="200"/>
      <c r="J20" s="50" t="s">
        <v>1179</v>
      </c>
      <c r="K20" s="61">
        <v>22</v>
      </c>
      <c r="L20" s="61">
        <v>22</v>
      </c>
      <c r="M20" s="238"/>
      <c r="N20" s="188"/>
      <c r="O20" s="678">
        <f t="shared" si="8"/>
        <v>0</v>
      </c>
      <c r="P20" s="512">
        <f t="shared" si="3"/>
        <v>0</v>
      </c>
      <c r="Q20" s="552">
        <f t="shared" si="0"/>
        <v>0</v>
      </c>
      <c r="R20" s="552">
        <f t="shared" si="4"/>
        <v>0</v>
      </c>
      <c r="S20" s="552">
        <f t="shared" si="5"/>
        <v>0</v>
      </c>
      <c r="T20" s="552">
        <f t="shared" si="6"/>
        <v>0</v>
      </c>
      <c r="U20" s="745"/>
      <c r="V20" s="748"/>
      <c r="W20" s="724"/>
      <c r="X20" s="724">
        <f t="shared" si="1"/>
        <v>0</v>
      </c>
      <c r="Y20" s="583">
        <v>0</v>
      </c>
      <c r="Z20" s="583"/>
      <c r="AA20" s="583">
        <v>0</v>
      </c>
      <c r="AB20" s="724">
        <f t="shared" si="2"/>
        <v>0</v>
      </c>
      <c r="AC20" s="583"/>
      <c r="AD20" s="583"/>
      <c r="AE20" s="585"/>
      <c r="AF20" s="585"/>
      <c r="AG20" s="585"/>
      <c r="AH20" s="585"/>
      <c r="AI20" s="585"/>
      <c r="AJ20" s="585" t="str">
        <f t="shared" si="7"/>
        <v/>
      </c>
      <c r="AK20" s="585"/>
    </row>
    <row r="21" spans="1:37" s="2" customFormat="1" ht="15.6" customHeight="1">
      <c r="A21" s="1683" t="s">
        <v>336</v>
      </c>
      <c r="B21" s="1683" t="s">
        <v>337</v>
      </c>
      <c r="C21" s="11">
        <v>11</v>
      </c>
      <c r="D21" s="20" t="s">
        <v>58</v>
      </c>
      <c r="E21" s="483" t="s">
        <v>260</v>
      </c>
      <c r="F21" s="5" t="s">
        <v>260</v>
      </c>
      <c r="G21" s="642" t="s">
        <v>486</v>
      </c>
      <c r="H21" s="1583" t="s">
        <v>287</v>
      </c>
      <c r="I21" s="1592">
        <v>1</v>
      </c>
      <c r="J21" s="48" t="s">
        <v>1730</v>
      </c>
      <c r="K21" s="61" t="s">
        <v>60</v>
      </c>
      <c r="L21" s="61" t="s">
        <v>60</v>
      </c>
      <c r="M21" s="1583">
        <v>1</v>
      </c>
      <c r="N21" s="1583">
        <v>1</v>
      </c>
      <c r="O21" s="678">
        <f t="shared" ref="O21:O41" si="9">IF((K21=L21)=TRUE,0,1)</f>
        <v>0</v>
      </c>
      <c r="P21" s="512">
        <f t="shared" si="3"/>
        <v>0</v>
      </c>
      <c r="Q21" s="552">
        <f t="shared" si="0"/>
        <v>0</v>
      </c>
      <c r="R21" s="552">
        <f t="shared" si="4"/>
        <v>0</v>
      </c>
      <c r="S21" s="552">
        <f t="shared" si="5"/>
        <v>0</v>
      </c>
      <c r="T21" s="552">
        <f t="shared" si="6"/>
        <v>0</v>
      </c>
      <c r="U21" s="745"/>
      <c r="V21" s="748"/>
      <c r="W21" s="1680">
        <v>1</v>
      </c>
      <c r="X21" s="724">
        <f t="shared" si="1"/>
        <v>1</v>
      </c>
      <c r="Y21" s="583">
        <v>0</v>
      </c>
      <c r="Z21" s="583"/>
      <c r="AA21" s="583">
        <v>0</v>
      </c>
      <c r="AB21" s="724">
        <f t="shared" si="2"/>
        <v>1</v>
      </c>
      <c r="AC21" s="583"/>
      <c r="AD21" s="583"/>
      <c r="AE21" s="585"/>
      <c r="AF21" s="585"/>
      <c r="AG21" s="585" t="s">
        <v>59</v>
      </c>
      <c r="AH21" s="585" t="s">
        <v>60</v>
      </c>
      <c r="AI21" s="585" t="s">
        <v>42</v>
      </c>
      <c r="AJ21" s="585" t="str">
        <f t="shared" si="7"/>
        <v/>
      </c>
      <c r="AK21" s="585"/>
    </row>
    <row r="22" spans="1:37" s="2" customFormat="1" ht="15.6" customHeight="1">
      <c r="A22" s="1575"/>
      <c r="B22" s="1575"/>
      <c r="C22" s="11">
        <v>12</v>
      </c>
      <c r="D22" s="20" t="s">
        <v>61</v>
      </c>
      <c r="E22" s="483" t="s">
        <v>260</v>
      </c>
      <c r="F22" s="5" t="s">
        <v>260</v>
      </c>
      <c r="G22" s="642" t="s">
        <v>486</v>
      </c>
      <c r="H22" s="1583"/>
      <c r="I22" s="1592"/>
      <c r="J22" s="48" t="s">
        <v>1731</v>
      </c>
      <c r="K22" s="61" t="s">
        <v>62</v>
      </c>
      <c r="L22" s="61" t="s">
        <v>62</v>
      </c>
      <c r="M22" s="1583"/>
      <c r="N22" s="1583"/>
      <c r="O22" s="678">
        <f t="shared" si="9"/>
        <v>0</v>
      </c>
      <c r="P22" s="512">
        <f t="shared" si="3"/>
        <v>0</v>
      </c>
      <c r="Q22" s="552">
        <f t="shared" si="0"/>
        <v>0</v>
      </c>
      <c r="R22" s="552">
        <f t="shared" si="4"/>
        <v>0</v>
      </c>
      <c r="S22" s="552">
        <f t="shared" si="5"/>
        <v>0</v>
      </c>
      <c r="T22" s="552">
        <f t="shared" si="6"/>
        <v>0</v>
      </c>
      <c r="U22" s="745"/>
      <c r="V22" s="748"/>
      <c r="W22" s="1680"/>
      <c r="X22" s="724">
        <f t="shared" si="1"/>
        <v>0</v>
      </c>
      <c r="Y22" s="583">
        <v>0</v>
      </c>
      <c r="Z22" s="583"/>
      <c r="AA22" s="583">
        <v>0</v>
      </c>
      <c r="AB22" s="724">
        <f t="shared" si="2"/>
        <v>0</v>
      </c>
      <c r="AC22" s="583"/>
      <c r="AD22" s="583"/>
      <c r="AE22" s="585"/>
      <c r="AF22" s="585"/>
      <c r="AG22" s="585" t="s">
        <v>62</v>
      </c>
      <c r="AH22" s="585" t="s">
        <v>63</v>
      </c>
      <c r="AI22" s="585" t="s">
        <v>42</v>
      </c>
      <c r="AJ22" s="585" t="str">
        <f t="shared" si="7"/>
        <v/>
      </c>
      <c r="AK22" s="585"/>
    </row>
    <row r="23" spans="1:37" s="2" customFormat="1" ht="15.6" customHeight="1">
      <c r="A23" s="1683" t="s">
        <v>338</v>
      </c>
      <c r="B23" s="1683" t="s">
        <v>339</v>
      </c>
      <c r="C23" s="11">
        <v>13</v>
      </c>
      <c r="D23" s="20" t="s">
        <v>64</v>
      </c>
      <c r="E23" s="483" t="s">
        <v>260</v>
      </c>
      <c r="F23" s="5" t="s">
        <v>260</v>
      </c>
      <c r="G23" s="642" t="s">
        <v>486</v>
      </c>
      <c r="H23" s="1583" t="s">
        <v>287</v>
      </c>
      <c r="I23" s="1592">
        <v>1</v>
      </c>
      <c r="J23" s="48" t="s">
        <v>1732</v>
      </c>
      <c r="K23" s="61" t="s">
        <v>65</v>
      </c>
      <c r="L23" s="61" t="s">
        <v>65</v>
      </c>
      <c r="M23" s="1583">
        <v>1</v>
      </c>
      <c r="N23" s="1583">
        <v>1</v>
      </c>
      <c r="O23" s="678">
        <f t="shared" si="9"/>
        <v>0</v>
      </c>
      <c r="P23" s="512">
        <f t="shared" si="3"/>
        <v>0</v>
      </c>
      <c r="Q23" s="552">
        <f t="shared" si="0"/>
        <v>0</v>
      </c>
      <c r="R23" s="552">
        <f t="shared" si="4"/>
        <v>0</v>
      </c>
      <c r="S23" s="552">
        <f t="shared" si="5"/>
        <v>0</v>
      </c>
      <c r="T23" s="552">
        <f t="shared" si="6"/>
        <v>0</v>
      </c>
      <c r="U23" s="745"/>
      <c r="V23" s="748"/>
      <c r="W23" s="1680">
        <v>1</v>
      </c>
      <c r="X23" s="724">
        <f t="shared" si="1"/>
        <v>1</v>
      </c>
      <c r="Y23" s="583">
        <v>0</v>
      </c>
      <c r="Z23" s="583"/>
      <c r="AA23" s="583">
        <v>0</v>
      </c>
      <c r="AB23" s="724">
        <f t="shared" si="2"/>
        <v>1</v>
      </c>
      <c r="AC23" s="583"/>
      <c r="AD23" s="583"/>
      <c r="AE23" s="585"/>
      <c r="AF23" s="585"/>
      <c r="AG23" s="585" t="s">
        <v>65</v>
      </c>
      <c r="AH23" s="585" t="s">
        <v>66</v>
      </c>
      <c r="AI23" s="585" t="s">
        <v>42</v>
      </c>
      <c r="AJ23" s="585" t="str">
        <f t="shared" si="7"/>
        <v/>
      </c>
      <c r="AK23" s="585"/>
    </row>
    <row r="24" spans="1:37" s="2" customFormat="1" ht="15.6" customHeight="1">
      <c r="A24" s="1575"/>
      <c r="B24" s="1575"/>
      <c r="C24" s="11">
        <v>14</v>
      </c>
      <c r="D24" s="20" t="s">
        <v>67</v>
      </c>
      <c r="E24" s="483" t="s">
        <v>260</v>
      </c>
      <c r="F24" s="5" t="s">
        <v>260</v>
      </c>
      <c r="G24" s="642" t="s">
        <v>486</v>
      </c>
      <c r="H24" s="1583"/>
      <c r="I24" s="1592"/>
      <c r="J24" s="449" t="s">
        <v>1733</v>
      </c>
      <c r="K24" s="61" t="s">
        <v>62</v>
      </c>
      <c r="L24" s="61" t="s">
        <v>62</v>
      </c>
      <c r="M24" s="1583"/>
      <c r="N24" s="1583"/>
      <c r="O24" s="678">
        <f t="shared" si="9"/>
        <v>0</v>
      </c>
      <c r="P24" s="512">
        <f t="shared" si="3"/>
        <v>0</v>
      </c>
      <c r="Q24" s="552">
        <f t="shared" si="0"/>
        <v>0</v>
      </c>
      <c r="R24" s="552">
        <f t="shared" si="4"/>
        <v>0</v>
      </c>
      <c r="S24" s="552">
        <f t="shared" si="5"/>
        <v>0</v>
      </c>
      <c r="T24" s="552">
        <f t="shared" si="6"/>
        <v>0</v>
      </c>
      <c r="U24" s="745"/>
      <c r="V24" s="748"/>
      <c r="W24" s="1680"/>
      <c r="X24" s="724">
        <f t="shared" si="1"/>
        <v>0</v>
      </c>
      <c r="Y24" s="583">
        <v>0</v>
      </c>
      <c r="Z24" s="583"/>
      <c r="AA24" s="583">
        <v>0</v>
      </c>
      <c r="AB24" s="724">
        <f t="shared" si="2"/>
        <v>0</v>
      </c>
      <c r="AC24" s="583"/>
      <c r="AD24" s="583"/>
      <c r="AE24" s="585"/>
      <c r="AF24" s="585"/>
      <c r="AG24" s="585" t="s">
        <v>62</v>
      </c>
      <c r="AH24" s="585" t="s">
        <v>68</v>
      </c>
      <c r="AI24" s="585" t="s">
        <v>42</v>
      </c>
      <c r="AJ24" s="585" t="str">
        <f t="shared" si="7"/>
        <v/>
      </c>
      <c r="AK24" s="585"/>
    </row>
    <row r="25" spans="1:37" s="2" customFormat="1" ht="15.6" customHeight="1">
      <c r="A25" s="1683" t="s">
        <v>340</v>
      </c>
      <c r="B25" s="1683" t="s">
        <v>341</v>
      </c>
      <c r="C25" s="11">
        <v>15</v>
      </c>
      <c r="D25" s="20" t="s">
        <v>245</v>
      </c>
      <c r="E25" s="483" t="s">
        <v>260</v>
      </c>
      <c r="F25" s="5" t="s">
        <v>260</v>
      </c>
      <c r="G25" s="642" t="s">
        <v>486</v>
      </c>
      <c r="H25" s="1583" t="s">
        <v>287</v>
      </c>
      <c r="I25" s="1592">
        <v>1</v>
      </c>
      <c r="J25" s="48" t="s">
        <v>1734</v>
      </c>
      <c r="K25" s="61" t="s">
        <v>69</v>
      </c>
      <c r="L25" s="61" t="s">
        <v>69</v>
      </c>
      <c r="M25" s="1583">
        <v>1</v>
      </c>
      <c r="N25" s="1583">
        <v>1</v>
      </c>
      <c r="O25" s="678">
        <f t="shared" si="9"/>
        <v>0</v>
      </c>
      <c r="P25" s="512">
        <f t="shared" si="3"/>
        <v>0</v>
      </c>
      <c r="Q25" s="552">
        <f t="shared" si="0"/>
        <v>0</v>
      </c>
      <c r="R25" s="552">
        <f t="shared" si="4"/>
        <v>0</v>
      </c>
      <c r="S25" s="552">
        <f t="shared" si="5"/>
        <v>0</v>
      </c>
      <c r="T25" s="552">
        <f t="shared" si="6"/>
        <v>0</v>
      </c>
      <c r="U25" s="745"/>
      <c r="V25" s="748"/>
      <c r="W25" s="1680">
        <v>1</v>
      </c>
      <c r="X25" s="724">
        <f t="shared" si="1"/>
        <v>1</v>
      </c>
      <c r="Y25" s="583">
        <v>0</v>
      </c>
      <c r="Z25" s="583"/>
      <c r="AA25" s="583">
        <v>0</v>
      </c>
      <c r="AB25" s="724">
        <f t="shared" si="2"/>
        <v>1</v>
      </c>
      <c r="AC25" s="583"/>
      <c r="AD25" s="583"/>
      <c r="AE25" s="585"/>
      <c r="AF25" s="585"/>
      <c r="AG25" s="585" t="s">
        <v>69</v>
      </c>
      <c r="AH25" s="585" t="s">
        <v>70</v>
      </c>
      <c r="AI25" s="585" t="s">
        <v>42</v>
      </c>
      <c r="AJ25" s="585" t="str">
        <f t="shared" si="7"/>
        <v/>
      </c>
      <c r="AK25" s="585"/>
    </row>
    <row r="26" spans="1:37" s="2" customFormat="1" ht="15.6" customHeight="1">
      <c r="A26" s="1575"/>
      <c r="B26" s="1575"/>
      <c r="C26" s="11">
        <v>16</v>
      </c>
      <c r="D26" s="20" t="s">
        <v>246</v>
      </c>
      <c r="E26" s="483" t="s">
        <v>260</v>
      </c>
      <c r="F26" s="5" t="s">
        <v>260</v>
      </c>
      <c r="G26" s="642" t="s">
        <v>486</v>
      </c>
      <c r="H26" s="1583"/>
      <c r="I26" s="1592"/>
      <c r="J26" s="48" t="s">
        <v>1735</v>
      </c>
      <c r="K26" s="61" t="s">
        <v>62</v>
      </c>
      <c r="L26" s="61" t="s">
        <v>62</v>
      </c>
      <c r="M26" s="1583"/>
      <c r="N26" s="1583"/>
      <c r="O26" s="678">
        <f t="shared" si="9"/>
        <v>0</v>
      </c>
      <c r="P26" s="512">
        <f t="shared" si="3"/>
        <v>0</v>
      </c>
      <c r="Q26" s="552">
        <f t="shared" si="0"/>
        <v>0</v>
      </c>
      <c r="R26" s="552">
        <f t="shared" si="4"/>
        <v>0</v>
      </c>
      <c r="S26" s="552">
        <f t="shared" si="5"/>
        <v>0</v>
      </c>
      <c r="T26" s="552">
        <f t="shared" si="6"/>
        <v>0</v>
      </c>
      <c r="U26" s="745"/>
      <c r="V26" s="748"/>
      <c r="W26" s="1680"/>
      <c r="X26" s="724">
        <f t="shared" si="1"/>
        <v>0</v>
      </c>
      <c r="Y26" s="583">
        <v>0</v>
      </c>
      <c r="Z26" s="583"/>
      <c r="AA26" s="583">
        <v>0</v>
      </c>
      <c r="AB26" s="724">
        <f t="shared" si="2"/>
        <v>0</v>
      </c>
      <c r="AC26" s="583"/>
      <c r="AD26" s="583"/>
      <c r="AE26" s="585"/>
      <c r="AF26" s="585"/>
      <c r="AG26" s="585" t="s">
        <v>62</v>
      </c>
      <c r="AH26" s="585" t="s">
        <v>63</v>
      </c>
      <c r="AI26" s="585" t="s">
        <v>42</v>
      </c>
      <c r="AJ26" s="585" t="str">
        <f t="shared" si="7"/>
        <v/>
      </c>
      <c r="AK26" s="585"/>
    </row>
    <row r="27" spans="1:37" s="2" customFormat="1" ht="15.6" customHeight="1">
      <c r="A27" s="358" t="s">
        <v>342</v>
      </c>
      <c r="B27" s="358" t="s">
        <v>343</v>
      </c>
      <c r="C27" s="11">
        <v>17</v>
      </c>
      <c r="D27" s="20" t="s">
        <v>71</v>
      </c>
      <c r="E27" s="483" t="s">
        <v>260</v>
      </c>
      <c r="F27" s="5" t="s">
        <v>260</v>
      </c>
      <c r="G27" s="642" t="s">
        <v>486</v>
      </c>
      <c r="H27" s="76" t="s">
        <v>287</v>
      </c>
      <c r="I27" s="200">
        <v>5</v>
      </c>
      <c r="J27" s="48" t="s">
        <v>1736</v>
      </c>
      <c r="K27" s="61" t="s">
        <v>72</v>
      </c>
      <c r="L27" s="61" t="s">
        <v>72</v>
      </c>
      <c r="M27" s="242">
        <v>5</v>
      </c>
      <c r="N27" s="253">
        <v>5</v>
      </c>
      <c r="O27" s="678">
        <f t="shared" si="9"/>
        <v>0</v>
      </c>
      <c r="P27" s="512">
        <f t="shared" si="3"/>
        <v>0</v>
      </c>
      <c r="Q27" s="552">
        <f t="shared" si="0"/>
        <v>0</v>
      </c>
      <c r="R27" s="552">
        <f t="shared" si="4"/>
        <v>0</v>
      </c>
      <c r="S27" s="552">
        <f t="shared" si="5"/>
        <v>0</v>
      </c>
      <c r="T27" s="552">
        <f t="shared" si="6"/>
        <v>0</v>
      </c>
      <c r="U27" s="745"/>
      <c r="V27" s="748"/>
      <c r="W27" s="724">
        <v>1</v>
      </c>
      <c r="X27" s="724">
        <f t="shared" si="1"/>
        <v>5</v>
      </c>
      <c r="Y27" s="583">
        <v>0</v>
      </c>
      <c r="Z27" s="583"/>
      <c r="AA27" s="583">
        <v>0</v>
      </c>
      <c r="AB27" s="724">
        <f t="shared" si="2"/>
        <v>5</v>
      </c>
      <c r="AC27" s="583"/>
      <c r="AD27" s="583"/>
      <c r="AE27" s="585"/>
      <c r="AF27" s="585"/>
      <c r="AG27" s="585" t="s">
        <v>72</v>
      </c>
      <c r="AH27" s="585" t="s">
        <v>73</v>
      </c>
      <c r="AI27" s="585"/>
      <c r="AJ27" s="585" t="str">
        <f t="shared" si="7"/>
        <v/>
      </c>
      <c r="AK27" s="585"/>
    </row>
    <row r="28" spans="1:37" s="2" customFormat="1" ht="15.6" customHeight="1">
      <c r="A28" s="358" t="s">
        <v>344</v>
      </c>
      <c r="B28" s="358" t="s">
        <v>345</v>
      </c>
      <c r="C28" s="11">
        <v>18</v>
      </c>
      <c r="D28" s="20" t="s">
        <v>74</v>
      </c>
      <c r="E28" s="483" t="s">
        <v>260</v>
      </c>
      <c r="F28" s="5" t="s">
        <v>260</v>
      </c>
      <c r="G28" s="642" t="s">
        <v>486</v>
      </c>
      <c r="H28" s="76" t="s">
        <v>287</v>
      </c>
      <c r="I28" s="200">
        <v>1</v>
      </c>
      <c r="J28" s="48" t="s">
        <v>1737</v>
      </c>
      <c r="K28" s="61" t="s">
        <v>75</v>
      </c>
      <c r="L28" s="61" t="s">
        <v>75</v>
      </c>
      <c r="M28" s="242">
        <v>1</v>
      </c>
      <c r="N28" s="253">
        <v>1</v>
      </c>
      <c r="O28" s="678">
        <f t="shared" si="9"/>
        <v>0</v>
      </c>
      <c r="P28" s="512">
        <f t="shared" si="3"/>
        <v>0</v>
      </c>
      <c r="Q28" s="552">
        <f t="shared" si="0"/>
        <v>0</v>
      </c>
      <c r="R28" s="552">
        <f t="shared" si="4"/>
        <v>0</v>
      </c>
      <c r="S28" s="552">
        <f t="shared" si="5"/>
        <v>0</v>
      </c>
      <c r="T28" s="552">
        <f t="shared" si="6"/>
        <v>0</v>
      </c>
      <c r="U28" s="745"/>
      <c r="V28" s="748"/>
      <c r="W28" s="724">
        <v>1</v>
      </c>
      <c r="X28" s="724">
        <f t="shared" si="1"/>
        <v>1</v>
      </c>
      <c r="Y28" s="583">
        <v>0</v>
      </c>
      <c r="Z28" s="583"/>
      <c r="AA28" s="583">
        <v>0</v>
      </c>
      <c r="AB28" s="724">
        <f t="shared" si="2"/>
        <v>1</v>
      </c>
      <c r="AC28" s="583"/>
      <c r="AD28" s="583"/>
      <c r="AE28" s="585"/>
      <c r="AF28" s="585"/>
      <c r="AG28" s="585" t="s">
        <v>75</v>
      </c>
      <c r="AH28" s="585" t="s">
        <v>76</v>
      </c>
      <c r="AI28" s="585" t="s">
        <v>77</v>
      </c>
      <c r="AJ28" s="585" t="str">
        <f t="shared" si="7"/>
        <v/>
      </c>
      <c r="AK28" s="585"/>
    </row>
    <row r="29" spans="1:37" s="2" customFormat="1" ht="15.6" customHeight="1">
      <c r="A29" s="358" t="s">
        <v>346</v>
      </c>
      <c r="B29" s="358" t="s">
        <v>347</v>
      </c>
      <c r="C29" s="11">
        <v>19</v>
      </c>
      <c r="D29" s="20" t="s">
        <v>78</v>
      </c>
      <c r="E29" s="483" t="s">
        <v>260</v>
      </c>
      <c r="F29" s="5" t="s">
        <v>260</v>
      </c>
      <c r="G29" s="642" t="s">
        <v>486</v>
      </c>
      <c r="H29" s="76" t="s">
        <v>287</v>
      </c>
      <c r="I29" s="200">
        <v>1</v>
      </c>
      <c r="J29" s="48" t="s">
        <v>1738</v>
      </c>
      <c r="K29" s="61" t="s">
        <v>79</v>
      </c>
      <c r="L29" s="61" t="s">
        <v>79</v>
      </c>
      <c r="M29" s="242">
        <v>1</v>
      </c>
      <c r="N29" s="253">
        <v>1</v>
      </c>
      <c r="O29" s="678">
        <f t="shared" si="9"/>
        <v>0</v>
      </c>
      <c r="P29" s="512">
        <f t="shared" si="3"/>
        <v>0</v>
      </c>
      <c r="Q29" s="552">
        <f t="shared" si="0"/>
        <v>0</v>
      </c>
      <c r="R29" s="552">
        <f t="shared" si="4"/>
        <v>0</v>
      </c>
      <c r="S29" s="552">
        <f t="shared" si="5"/>
        <v>0</v>
      </c>
      <c r="T29" s="552">
        <f t="shared" si="6"/>
        <v>0</v>
      </c>
      <c r="U29" s="745"/>
      <c r="V29" s="748"/>
      <c r="W29" s="724">
        <v>1</v>
      </c>
      <c r="X29" s="724">
        <f t="shared" si="1"/>
        <v>1</v>
      </c>
      <c r="Y29" s="583">
        <v>0</v>
      </c>
      <c r="Z29" s="583"/>
      <c r="AA29" s="583">
        <v>0</v>
      </c>
      <c r="AB29" s="724">
        <f t="shared" si="2"/>
        <v>1</v>
      </c>
      <c r="AC29" s="583"/>
      <c r="AD29" s="583"/>
      <c r="AE29" s="585"/>
      <c r="AF29" s="585"/>
      <c r="AG29" s="585" t="s">
        <v>79</v>
      </c>
      <c r="AH29" s="585" t="s">
        <v>80</v>
      </c>
      <c r="AI29" s="585" t="s">
        <v>77</v>
      </c>
      <c r="AJ29" s="585" t="str">
        <f t="shared" si="7"/>
        <v/>
      </c>
      <c r="AK29" s="585"/>
    </row>
    <row r="30" spans="1:37" s="2" customFormat="1" ht="15.6" customHeight="1">
      <c r="A30" s="358" t="s">
        <v>350</v>
      </c>
      <c r="B30" s="358" t="s">
        <v>351</v>
      </c>
      <c r="C30" s="11">
        <v>20</v>
      </c>
      <c r="D30" s="20" t="s">
        <v>81</v>
      </c>
      <c r="E30" s="483" t="s">
        <v>260</v>
      </c>
      <c r="F30" s="5" t="s">
        <v>260</v>
      </c>
      <c r="G30" s="642" t="s">
        <v>1891</v>
      </c>
      <c r="H30" s="76" t="s">
        <v>287</v>
      </c>
      <c r="I30" s="200">
        <v>2</v>
      </c>
      <c r="J30" s="48" t="s">
        <v>1739</v>
      </c>
      <c r="K30" s="61" t="s">
        <v>82</v>
      </c>
      <c r="L30" s="61" t="s">
        <v>82</v>
      </c>
      <c r="M30" s="242">
        <v>2</v>
      </c>
      <c r="N30" s="253">
        <v>2</v>
      </c>
      <c r="O30" s="678">
        <f t="shared" si="9"/>
        <v>0</v>
      </c>
      <c r="P30" s="512">
        <f t="shared" si="3"/>
        <v>0</v>
      </c>
      <c r="Q30" s="552">
        <f t="shared" si="0"/>
        <v>0</v>
      </c>
      <c r="R30" s="552">
        <f t="shared" si="4"/>
        <v>0</v>
      </c>
      <c r="S30" s="552">
        <f t="shared" si="5"/>
        <v>0</v>
      </c>
      <c r="T30" s="552">
        <f t="shared" si="6"/>
        <v>0</v>
      </c>
      <c r="U30" s="745"/>
      <c r="V30" s="748"/>
      <c r="W30" s="724">
        <v>1</v>
      </c>
      <c r="X30" s="724">
        <f t="shared" si="1"/>
        <v>2</v>
      </c>
      <c r="Y30" s="583">
        <v>0</v>
      </c>
      <c r="Z30" s="583"/>
      <c r="AA30" s="583">
        <v>0</v>
      </c>
      <c r="AB30" s="724">
        <f t="shared" si="2"/>
        <v>2</v>
      </c>
      <c r="AC30" s="583"/>
      <c r="AD30" s="583"/>
      <c r="AE30" s="585"/>
      <c r="AF30" s="585"/>
      <c r="AG30" s="585" t="s">
        <v>82</v>
      </c>
      <c r="AH30" s="585" t="s">
        <v>83</v>
      </c>
      <c r="AI30" s="585" t="s">
        <v>84</v>
      </c>
      <c r="AJ30" s="585" t="str">
        <f t="shared" si="7"/>
        <v/>
      </c>
      <c r="AK30" s="585"/>
    </row>
    <row r="31" spans="1:37" s="2" customFormat="1" ht="15.6" customHeight="1">
      <c r="A31" s="358" t="s">
        <v>348</v>
      </c>
      <c r="B31" s="358" t="s">
        <v>349</v>
      </c>
      <c r="C31" s="11">
        <v>21</v>
      </c>
      <c r="D31" s="20" t="s">
        <v>85</v>
      </c>
      <c r="E31" s="483" t="s">
        <v>260</v>
      </c>
      <c r="F31" s="5" t="s">
        <v>260</v>
      </c>
      <c r="G31" s="642" t="s">
        <v>486</v>
      </c>
      <c r="H31" s="76" t="s">
        <v>287</v>
      </c>
      <c r="I31" s="200">
        <v>4</v>
      </c>
      <c r="J31" s="48" t="s">
        <v>1740</v>
      </c>
      <c r="K31" s="61" t="s">
        <v>86</v>
      </c>
      <c r="L31" s="61" t="s">
        <v>86</v>
      </c>
      <c r="M31" s="242">
        <v>4</v>
      </c>
      <c r="N31" s="253">
        <v>4</v>
      </c>
      <c r="O31" s="678">
        <f t="shared" si="9"/>
        <v>0</v>
      </c>
      <c r="P31" s="512">
        <f t="shared" si="3"/>
        <v>0</v>
      </c>
      <c r="Q31" s="552">
        <f t="shared" si="0"/>
        <v>0</v>
      </c>
      <c r="R31" s="552">
        <f t="shared" si="4"/>
        <v>0</v>
      </c>
      <c r="S31" s="552">
        <f t="shared" si="5"/>
        <v>0</v>
      </c>
      <c r="T31" s="552">
        <f t="shared" si="6"/>
        <v>0</v>
      </c>
      <c r="U31" s="745"/>
      <c r="V31" s="748"/>
      <c r="W31" s="724">
        <v>1</v>
      </c>
      <c r="X31" s="724">
        <f t="shared" si="1"/>
        <v>4</v>
      </c>
      <c r="Y31" s="583">
        <v>0</v>
      </c>
      <c r="Z31" s="583"/>
      <c r="AA31" s="583">
        <v>0</v>
      </c>
      <c r="AB31" s="724">
        <f t="shared" si="2"/>
        <v>4</v>
      </c>
      <c r="AC31" s="583"/>
      <c r="AD31" s="583"/>
      <c r="AE31" s="585"/>
      <c r="AF31" s="585"/>
      <c r="AG31" s="585" t="s">
        <v>86</v>
      </c>
      <c r="AH31" s="585" t="s">
        <v>87</v>
      </c>
      <c r="AI31" s="585"/>
      <c r="AJ31" s="585" t="str">
        <f t="shared" si="7"/>
        <v/>
      </c>
      <c r="AK31" s="585"/>
    </row>
    <row r="32" spans="1:37" s="2" customFormat="1" ht="15.6" customHeight="1">
      <c r="A32" s="1683" t="s">
        <v>352</v>
      </c>
      <c r="B32" s="1683" t="s">
        <v>353</v>
      </c>
      <c r="C32" s="11">
        <v>22</v>
      </c>
      <c r="D32" s="20" t="s">
        <v>88</v>
      </c>
      <c r="E32" s="483" t="s">
        <v>260</v>
      </c>
      <c r="F32" s="5" t="s">
        <v>260</v>
      </c>
      <c r="G32" s="642" t="s">
        <v>486</v>
      </c>
      <c r="H32" s="1583" t="s">
        <v>287</v>
      </c>
      <c r="I32" s="1592">
        <v>3</v>
      </c>
      <c r="J32" s="48" t="s">
        <v>1741</v>
      </c>
      <c r="K32" s="61" t="s">
        <v>89</v>
      </c>
      <c r="L32" s="61" t="s">
        <v>89</v>
      </c>
      <c r="M32" s="1583">
        <v>3</v>
      </c>
      <c r="N32" s="1583">
        <v>3</v>
      </c>
      <c r="O32" s="678">
        <f t="shared" si="9"/>
        <v>0</v>
      </c>
      <c r="P32" s="512">
        <f t="shared" si="3"/>
        <v>0</v>
      </c>
      <c r="Q32" s="552">
        <f t="shared" si="0"/>
        <v>0</v>
      </c>
      <c r="R32" s="552">
        <f t="shared" si="4"/>
        <v>0</v>
      </c>
      <c r="S32" s="552">
        <f t="shared" si="5"/>
        <v>0</v>
      </c>
      <c r="T32" s="552">
        <f t="shared" si="6"/>
        <v>0</v>
      </c>
      <c r="U32" s="745"/>
      <c r="V32" s="748"/>
      <c r="W32" s="1680">
        <v>1</v>
      </c>
      <c r="X32" s="724">
        <f t="shared" si="1"/>
        <v>3</v>
      </c>
      <c r="Y32" s="583">
        <v>0</v>
      </c>
      <c r="Z32" s="583"/>
      <c r="AA32" s="583">
        <v>0</v>
      </c>
      <c r="AB32" s="724">
        <f t="shared" si="2"/>
        <v>3</v>
      </c>
      <c r="AC32" s="583"/>
      <c r="AD32" s="583"/>
      <c r="AE32" s="585"/>
      <c r="AF32" s="585"/>
      <c r="AG32" s="585" t="s">
        <v>89</v>
      </c>
      <c r="AH32" s="585" t="s">
        <v>90</v>
      </c>
      <c r="AI32" s="585" t="s">
        <v>42</v>
      </c>
      <c r="AJ32" s="585" t="str">
        <f t="shared" si="7"/>
        <v/>
      </c>
      <c r="AK32" s="585"/>
    </row>
    <row r="33" spans="1:37" s="2" customFormat="1" ht="15.6" customHeight="1">
      <c r="A33" s="1575"/>
      <c r="B33" s="1575"/>
      <c r="C33" s="11">
        <v>23</v>
      </c>
      <c r="D33" s="20" t="s">
        <v>91</v>
      </c>
      <c r="E33" s="483" t="s">
        <v>260</v>
      </c>
      <c r="F33" s="5" t="s">
        <v>260</v>
      </c>
      <c r="G33" s="642" t="s">
        <v>486</v>
      </c>
      <c r="H33" s="1583"/>
      <c r="I33" s="1592"/>
      <c r="J33" s="48" t="s">
        <v>1742</v>
      </c>
      <c r="K33" s="61" t="s">
        <v>62</v>
      </c>
      <c r="L33" s="61" t="s">
        <v>62</v>
      </c>
      <c r="M33" s="1583"/>
      <c r="N33" s="1583"/>
      <c r="O33" s="678">
        <f t="shared" si="9"/>
        <v>0</v>
      </c>
      <c r="P33" s="512">
        <f t="shared" si="3"/>
        <v>0</v>
      </c>
      <c r="Q33" s="552">
        <f t="shared" si="0"/>
        <v>0</v>
      </c>
      <c r="R33" s="552">
        <f t="shared" si="4"/>
        <v>0</v>
      </c>
      <c r="S33" s="552">
        <f t="shared" si="5"/>
        <v>0</v>
      </c>
      <c r="T33" s="552">
        <f t="shared" si="6"/>
        <v>0</v>
      </c>
      <c r="U33" s="745"/>
      <c r="V33" s="748"/>
      <c r="W33" s="1680"/>
      <c r="X33" s="724">
        <f t="shared" si="1"/>
        <v>0</v>
      </c>
      <c r="Y33" s="583">
        <v>0</v>
      </c>
      <c r="Z33" s="583"/>
      <c r="AA33" s="583">
        <v>0</v>
      </c>
      <c r="AB33" s="724">
        <f t="shared" si="2"/>
        <v>0</v>
      </c>
      <c r="AC33" s="583"/>
      <c r="AD33" s="583"/>
      <c r="AE33" s="585"/>
      <c r="AF33" s="585"/>
      <c r="AG33" s="585" t="s">
        <v>62</v>
      </c>
      <c r="AH33" s="585" t="s">
        <v>63</v>
      </c>
      <c r="AI33" s="585" t="s">
        <v>42</v>
      </c>
      <c r="AJ33" s="585" t="str">
        <f t="shared" si="7"/>
        <v/>
      </c>
      <c r="AK33" s="585"/>
    </row>
    <row r="34" spans="1:37" s="2" customFormat="1" ht="15.6" customHeight="1">
      <c r="A34" s="359" t="s">
        <v>354</v>
      </c>
      <c r="B34" s="359" t="s">
        <v>355</v>
      </c>
      <c r="C34" s="11">
        <v>24</v>
      </c>
      <c r="D34" s="20" t="s">
        <v>92</v>
      </c>
      <c r="E34" s="483" t="s">
        <v>260</v>
      </c>
      <c r="F34" s="5" t="s">
        <v>260</v>
      </c>
      <c r="G34" s="642" t="s">
        <v>486</v>
      </c>
      <c r="H34" s="76" t="s">
        <v>287</v>
      </c>
      <c r="I34" s="200">
        <v>5</v>
      </c>
      <c r="J34" s="48" t="s">
        <v>1743</v>
      </c>
      <c r="K34" s="61" t="s">
        <v>93</v>
      </c>
      <c r="L34" s="61" t="s">
        <v>93</v>
      </c>
      <c r="M34" s="242">
        <v>5</v>
      </c>
      <c r="N34" s="253">
        <v>5</v>
      </c>
      <c r="O34" s="678">
        <f t="shared" si="9"/>
        <v>0</v>
      </c>
      <c r="P34" s="512">
        <f t="shared" si="3"/>
        <v>0</v>
      </c>
      <c r="Q34" s="552">
        <f t="shared" si="0"/>
        <v>0</v>
      </c>
      <c r="R34" s="552">
        <f t="shared" si="4"/>
        <v>0</v>
      </c>
      <c r="S34" s="552">
        <f t="shared" si="5"/>
        <v>0</v>
      </c>
      <c r="T34" s="552">
        <f t="shared" si="6"/>
        <v>0</v>
      </c>
      <c r="U34" s="745"/>
      <c r="V34" s="748"/>
      <c r="W34" s="724">
        <v>1</v>
      </c>
      <c r="X34" s="724">
        <f t="shared" si="1"/>
        <v>5</v>
      </c>
      <c r="Y34" s="583">
        <v>0</v>
      </c>
      <c r="Z34" s="583"/>
      <c r="AA34" s="583">
        <v>0</v>
      </c>
      <c r="AB34" s="724">
        <f t="shared" si="2"/>
        <v>5</v>
      </c>
      <c r="AC34" s="583"/>
      <c r="AD34" s="583"/>
      <c r="AE34" s="585"/>
      <c r="AF34" s="585"/>
      <c r="AG34" s="585" t="s">
        <v>93</v>
      </c>
      <c r="AH34" s="585" t="s">
        <v>94</v>
      </c>
      <c r="AI34" s="585" t="s">
        <v>95</v>
      </c>
      <c r="AJ34" s="585" t="str">
        <f t="shared" si="7"/>
        <v/>
      </c>
      <c r="AK34" s="585"/>
    </row>
    <row r="35" spans="1:37" s="2" customFormat="1" ht="15.6" customHeight="1">
      <c r="A35" s="358" t="s">
        <v>356</v>
      </c>
      <c r="B35" s="358" t="s">
        <v>357</v>
      </c>
      <c r="C35" s="11">
        <v>25</v>
      </c>
      <c r="D35" s="20" t="s">
        <v>96</v>
      </c>
      <c r="E35" s="483" t="s">
        <v>260</v>
      </c>
      <c r="F35" s="5" t="s">
        <v>260</v>
      </c>
      <c r="G35" s="642" t="s">
        <v>486</v>
      </c>
      <c r="H35" s="76" t="s">
        <v>287</v>
      </c>
      <c r="I35" s="200">
        <v>1</v>
      </c>
      <c r="J35" s="48" t="s">
        <v>1744</v>
      </c>
      <c r="K35" s="61" t="s">
        <v>97</v>
      </c>
      <c r="L35" s="61" t="s">
        <v>97</v>
      </c>
      <c r="M35" s="242">
        <v>1</v>
      </c>
      <c r="N35" s="253">
        <v>1</v>
      </c>
      <c r="O35" s="678">
        <f t="shared" si="9"/>
        <v>0</v>
      </c>
      <c r="P35" s="512">
        <f t="shared" si="3"/>
        <v>0</v>
      </c>
      <c r="Q35" s="552">
        <f t="shared" si="0"/>
        <v>0</v>
      </c>
      <c r="R35" s="552">
        <f t="shared" si="4"/>
        <v>0</v>
      </c>
      <c r="S35" s="552">
        <f t="shared" si="5"/>
        <v>0</v>
      </c>
      <c r="T35" s="552">
        <f t="shared" si="6"/>
        <v>0</v>
      </c>
      <c r="U35" s="745"/>
      <c r="V35" s="748"/>
      <c r="W35" s="724">
        <v>1</v>
      </c>
      <c r="X35" s="724">
        <f t="shared" si="1"/>
        <v>1</v>
      </c>
      <c r="Y35" s="583">
        <v>0</v>
      </c>
      <c r="Z35" s="583"/>
      <c r="AA35" s="583">
        <v>0</v>
      </c>
      <c r="AB35" s="724">
        <f t="shared" si="2"/>
        <v>1</v>
      </c>
      <c r="AC35" s="583"/>
      <c r="AD35" s="583"/>
      <c r="AE35" s="585"/>
      <c r="AF35" s="585"/>
      <c r="AG35" s="585" t="s">
        <v>97</v>
      </c>
      <c r="AH35" s="585" t="s">
        <v>98</v>
      </c>
      <c r="AI35" s="585"/>
      <c r="AJ35" s="585" t="str">
        <f t="shared" si="7"/>
        <v/>
      </c>
      <c r="AK35" s="585"/>
    </row>
    <row r="36" spans="1:37" s="2" customFormat="1" ht="15.6" customHeight="1">
      <c r="A36" s="1683" t="s">
        <v>358</v>
      </c>
      <c r="B36" s="1683" t="s">
        <v>359</v>
      </c>
      <c r="C36" s="11">
        <v>26</v>
      </c>
      <c r="D36" s="20" t="s">
        <v>99</v>
      </c>
      <c r="E36" s="483" t="s">
        <v>260</v>
      </c>
      <c r="F36" s="5" t="s">
        <v>1050</v>
      </c>
      <c r="G36" s="642" t="s">
        <v>486</v>
      </c>
      <c r="H36" s="1583" t="s">
        <v>287</v>
      </c>
      <c r="I36" s="1592">
        <v>1</v>
      </c>
      <c r="J36" s="48" t="s">
        <v>1745</v>
      </c>
      <c r="K36" s="61" t="s">
        <v>100</v>
      </c>
      <c r="L36" s="61" t="s">
        <v>100</v>
      </c>
      <c r="M36" s="1583">
        <v>1</v>
      </c>
      <c r="N36" s="1583">
        <v>1</v>
      </c>
      <c r="O36" s="678">
        <f t="shared" si="9"/>
        <v>0</v>
      </c>
      <c r="P36" s="512">
        <f t="shared" si="3"/>
        <v>0</v>
      </c>
      <c r="Q36" s="552">
        <f t="shared" ref="Q36:Q66" si="10">I36-M36</f>
        <v>0</v>
      </c>
      <c r="R36" s="552">
        <f t="shared" si="4"/>
        <v>0</v>
      </c>
      <c r="S36" s="552">
        <f t="shared" si="5"/>
        <v>0</v>
      </c>
      <c r="T36" s="552">
        <f t="shared" si="6"/>
        <v>0</v>
      </c>
      <c r="U36" s="745"/>
      <c r="V36" s="748"/>
      <c r="W36" s="1680">
        <v>1</v>
      </c>
      <c r="X36" s="724">
        <f t="shared" ref="X36:X62" si="11">$M36</f>
        <v>1</v>
      </c>
      <c r="Y36" s="583">
        <v>0</v>
      </c>
      <c r="Z36" s="583"/>
      <c r="AA36" s="583">
        <v>0</v>
      </c>
      <c r="AB36" s="724">
        <f t="shared" ref="AB36:AB62" si="12">$M36</f>
        <v>1</v>
      </c>
      <c r="AC36" s="583"/>
      <c r="AD36" s="583"/>
      <c r="AE36" s="585"/>
      <c r="AF36" s="585"/>
      <c r="AG36" s="585" t="s">
        <v>100</v>
      </c>
      <c r="AH36" s="585" t="s">
        <v>101</v>
      </c>
      <c r="AI36" s="585" t="s">
        <v>42</v>
      </c>
      <c r="AJ36" s="585" t="str">
        <f t="shared" si="7"/>
        <v/>
      </c>
      <c r="AK36" s="585"/>
    </row>
    <row r="37" spans="1:37" s="2" customFormat="1" ht="15.6" customHeight="1">
      <c r="A37" s="1575"/>
      <c r="B37" s="1575"/>
      <c r="C37" s="11">
        <v>27</v>
      </c>
      <c r="D37" s="20" t="s">
        <v>102</v>
      </c>
      <c r="E37" s="483" t="s">
        <v>260</v>
      </c>
      <c r="F37" s="5" t="s">
        <v>1050</v>
      </c>
      <c r="G37" s="642" t="s">
        <v>486</v>
      </c>
      <c r="H37" s="1583"/>
      <c r="I37" s="1592"/>
      <c r="J37" s="48" t="s">
        <v>1746</v>
      </c>
      <c r="K37" s="61" t="s">
        <v>62</v>
      </c>
      <c r="L37" s="61" t="s">
        <v>62</v>
      </c>
      <c r="M37" s="1583"/>
      <c r="N37" s="1583"/>
      <c r="O37" s="678">
        <f t="shared" si="9"/>
        <v>0</v>
      </c>
      <c r="P37" s="512">
        <f t="shared" si="3"/>
        <v>0</v>
      </c>
      <c r="Q37" s="552">
        <f t="shared" si="10"/>
        <v>0</v>
      </c>
      <c r="R37" s="552">
        <f t="shared" si="4"/>
        <v>0</v>
      </c>
      <c r="S37" s="552">
        <f t="shared" si="5"/>
        <v>0</v>
      </c>
      <c r="T37" s="552">
        <f t="shared" si="6"/>
        <v>0</v>
      </c>
      <c r="U37" s="745"/>
      <c r="V37" s="748"/>
      <c r="W37" s="1680"/>
      <c r="X37" s="724">
        <f t="shared" si="11"/>
        <v>0</v>
      </c>
      <c r="Y37" s="583">
        <v>0</v>
      </c>
      <c r="Z37" s="583"/>
      <c r="AA37" s="583">
        <v>0</v>
      </c>
      <c r="AB37" s="724">
        <f t="shared" si="12"/>
        <v>0</v>
      </c>
      <c r="AC37" s="583"/>
      <c r="AD37" s="583"/>
      <c r="AE37" s="585"/>
      <c r="AF37" s="585"/>
      <c r="AG37" s="585" t="s">
        <v>62</v>
      </c>
      <c r="AH37" s="585" t="s">
        <v>63</v>
      </c>
      <c r="AI37" s="585" t="s">
        <v>42</v>
      </c>
      <c r="AJ37" s="585" t="str">
        <f t="shared" si="7"/>
        <v/>
      </c>
      <c r="AK37" s="585"/>
    </row>
    <row r="38" spans="1:37" s="2" customFormat="1" ht="15.6" customHeight="1">
      <c r="A38" s="1683" t="s">
        <v>360</v>
      </c>
      <c r="B38" s="1683" t="s">
        <v>361</v>
      </c>
      <c r="C38" s="11">
        <v>28</v>
      </c>
      <c r="D38" s="20" t="s">
        <v>103</v>
      </c>
      <c r="E38" s="483" t="s">
        <v>260</v>
      </c>
      <c r="F38" s="5" t="s">
        <v>260</v>
      </c>
      <c r="G38" s="642" t="s">
        <v>486</v>
      </c>
      <c r="H38" s="1583" t="s">
        <v>287</v>
      </c>
      <c r="I38" s="1592">
        <v>1</v>
      </c>
      <c r="J38" s="48" t="s">
        <v>1747</v>
      </c>
      <c r="K38" s="61" t="s">
        <v>104</v>
      </c>
      <c r="L38" s="61" t="s">
        <v>104</v>
      </c>
      <c r="M38" s="1583">
        <v>1</v>
      </c>
      <c r="N38" s="1583">
        <v>1</v>
      </c>
      <c r="O38" s="678">
        <f t="shared" si="9"/>
        <v>0</v>
      </c>
      <c r="P38" s="512">
        <f t="shared" si="3"/>
        <v>0</v>
      </c>
      <c r="Q38" s="552">
        <f t="shared" si="10"/>
        <v>0</v>
      </c>
      <c r="R38" s="552">
        <f t="shared" si="4"/>
        <v>0</v>
      </c>
      <c r="S38" s="552">
        <f t="shared" si="5"/>
        <v>0</v>
      </c>
      <c r="T38" s="552">
        <f t="shared" si="6"/>
        <v>0</v>
      </c>
      <c r="U38" s="745"/>
      <c r="V38" s="748"/>
      <c r="W38" s="1680">
        <v>1</v>
      </c>
      <c r="X38" s="724">
        <f t="shared" si="11"/>
        <v>1</v>
      </c>
      <c r="Y38" s="583">
        <v>0</v>
      </c>
      <c r="Z38" s="583"/>
      <c r="AA38" s="583">
        <v>0</v>
      </c>
      <c r="AB38" s="724">
        <f t="shared" si="12"/>
        <v>1</v>
      </c>
      <c r="AC38" s="583"/>
      <c r="AD38" s="583"/>
      <c r="AE38" s="585"/>
      <c r="AF38" s="585"/>
      <c r="AG38" s="585" t="s">
        <v>104</v>
      </c>
      <c r="AH38" s="585" t="s">
        <v>105</v>
      </c>
      <c r="AI38" s="585" t="s">
        <v>42</v>
      </c>
      <c r="AJ38" s="585" t="str">
        <f t="shared" si="7"/>
        <v/>
      </c>
      <c r="AK38" s="585"/>
    </row>
    <row r="39" spans="1:37" s="2" customFormat="1" ht="15.6" customHeight="1">
      <c r="A39" s="1575"/>
      <c r="B39" s="1575"/>
      <c r="C39" s="11">
        <v>29</v>
      </c>
      <c r="D39" s="20" t="s">
        <v>106</v>
      </c>
      <c r="E39" s="483" t="s">
        <v>260</v>
      </c>
      <c r="F39" s="5" t="s">
        <v>260</v>
      </c>
      <c r="G39" s="642" t="s">
        <v>486</v>
      </c>
      <c r="H39" s="1583"/>
      <c r="I39" s="1592"/>
      <c r="J39" s="48" t="s">
        <v>1748</v>
      </c>
      <c r="K39" s="61" t="s">
        <v>62</v>
      </c>
      <c r="L39" s="61" t="s">
        <v>62</v>
      </c>
      <c r="M39" s="1583"/>
      <c r="N39" s="1583"/>
      <c r="O39" s="678">
        <f t="shared" si="9"/>
        <v>0</v>
      </c>
      <c r="P39" s="512">
        <f t="shared" si="3"/>
        <v>0</v>
      </c>
      <c r="Q39" s="552">
        <f t="shared" si="10"/>
        <v>0</v>
      </c>
      <c r="R39" s="552">
        <f t="shared" si="4"/>
        <v>0</v>
      </c>
      <c r="S39" s="552">
        <f t="shared" si="5"/>
        <v>0</v>
      </c>
      <c r="T39" s="552">
        <f t="shared" si="6"/>
        <v>0</v>
      </c>
      <c r="U39" s="745"/>
      <c r="V39" s="748"/>
      <c r="W39" s="1680"/>
      <c r="X39" s="724">
        <f t="shared" si="11"/>
        <v>0</v>
      </c>
      <c r="Y39" s="583">
        <v>0</v>
      </c>
      <c r="Z39" s="583"/>
      <c r="AA39" s="583">
        <v>0</v>
      </c>
      <c r="AB39" s="724">
        <f t="shared" si="12"/>
        <v>0</v>
      </c>
      <c r="AC39" s="583"/>
      <c r="AD39" s="583"/>
      <c r="AE39" s="585"/>
      <c r="AF39" s="585"/>
      <c r="AG39" s="585" t="s">
        <v>62</v>
      </c>
      <c r="AH39" s="585" t="s">
        <v>63</v>
      </c>
      <c r="AI39" s="585" t="s">
        <v>42</v>
      </c>
      <c r="AJ39" s="585" t="str">
        <f t="shared" si="7"/>
        <v/>
      </c>
      <c r="AK39" s="585"/>
    </row>
    <row r="40" spans="1:37" s="2" customFormat="1" ht="15.6" customHeight="1">
      <c r="A40" s="1683" t="s">
        <v>362</v>
      </c>
      <c r="B40" s="1683" t="s">
        <v>363</v>
      </c>
      <c r="C40" s="11">
        <v>30</v>
      </c>
      <c r="D40" s="20" t="s">
        <v>107</v>
      </c>
      <c r="E40" s="483" t="s">
        <v>260</v>
      </c>
      <c r="F40" s="5" t="s">
        <v>260</v>
      </c>
      <c r="G40" s="642" t="s">
        <v>486</v>
      </c>
      <c r="H40" s="1583" t="s">
        <v>287</v>
      </c>
      <c r="I40" s="1592">
        <v>1</v>
      </c>
      <c r="J40" s="48" t="s">
        <v>1749</v>
      </c>
      <c r="K40" s="61" t="s">
        <v>108</v>
      </c>
      <c r="L40" s="61" t="s">
        <v>108</v>
      </c>
      <c r="M40" s="1583">
        <v>1</v>
      </c>
      <c r="N40" s="1583">
        <v>1</v>
      </c>
      <c r="O40" s="678">
        <f t="shared" si="9"/>
        <v>0</v>
      </c>
      <c r="P40" s="512">
        <f t="shared" si="3"/>
        <v>0</v>
      </c>
      <c r="Q40" s="552">
        <f t="shared" si="10"/>
        <v>0</v>
      </c>
      <c r="R40" s="552">
        <f t="shared" si="4"/>
        <v>0</v>
      </c>
      <c r="S40" s="552">
        <f t="shared" si="5"/>
        <v>0</v>
      </c>
      <c r="T40" s="552">
        <f t="shared" si="6"/>
        <v>0</v>
      </c>
      <c r="U40" s="745"/>
      <c r="V40" s="748"/>
      <c r="W40" s="1680">
        <v>1</v>
      </c>
      <c r="X40" s="724">
        <f t="shared" si="11"/>
        <v>1</v>
      </c>
      <c r="Y40" s="583">
        <v>0</v>
      </c>
      <c r="Z40" s="583"/>
      <c r="AA40" s="583">
        <v>0</v>
      </c>
      <c r="AB40" s="724">
        <f t="shared" si="12"/>
        <v>1</v>
      </c>
      <c r="AC40" s="583"/>
      <c r="AD40" s="583"/>
      <c r="AE40" s="585"/>
      <c r="AF40" s="585"/>
      <c r="AG40" s="585" t="s">
        <v>108</v>
      </c>
      <c r="AH40" s="585" t="s">
        <v>109</v>
      </c>
      <c r="AI40" s="585" t="s">
        <v>110</v>
      </c>
      <c r="AJ40" s="585" t="str">
        <f t="shared" si="7"/>
        <v/>
      </c>
      <c r="AK40" s="585"/>
    </row>
    <row r="41" spans="1:37" s="2" customFormat="1" ht="15.6" customHeight="1">
      <c r="A41" s="1575"/>
      <c r="B41" s="1575"/>
      <c r="C41" s="11">
        <v>31</v>
      </c>
      <c r="D41" s="20" t="s">
        <v>111</v>
      </c>
      <c r="E41" s="483" t="s">
        <v>260</v>
      </c>
      <c r="F41" s="5" t="s">
        <v>260</v>
      </c>
      <c r="G41" s="642" t="s">
        <v>486</v>
      </c>
      <c r="H41" s="1583"/>
      <c r="I41" s="1592"/>
      <c r="J41" s="48" t="s">
        <v>1750</v>
      </c>
      <c r="K41" s="61" t="s">
        <v>62</v>
      </c>
      <c r="L41" s="61" t="s">
        <v>62</v>
      </c>
      <c r="M41" s="1583"/>
      <c r="N41" s="1583"/>
      <c r="O41" s="678">
        <f t="shared" si="9"/>
        <v>0</v>
      </c>
      <c r="P41" s="512">
        <f t="shared" si="3"/>
        <v>0</v>
      </c>
      <c r="Q41" s="552">
        <f t="shared" si="10"/>
        <v>0</v>
      </c>
      <c r="R41" s="552">
        <f t="shared" si="4"/>
        <v>0</v>
      </c>
      <c r="S41" s="552">
        <f t="shared" si="5"/>
        <v>0</v>
      </c>
      <c r="T41" s="552">
        <f t="shared" si="6"/>
        <v>0</v>
      </c>
      <c r="U41" s="745"/>
      <c r="V41" s="748"/>
      <c r="W41" s="1680"/>
      <c r="X41" s="724">
        <f t="shared" si="11"/>
        <v>0</v>
      </c>
      <c r="Y41" s="583">
        <v>0</v>
      </c>
      <c r="Z41" s="583"/>
      <c r="AA41" s="583">
        <v>0</v>
      </c>
      <c r="AB41" s="724">
        <f t="shared" si="12"/>
        <v>0</v>
      </c>
      <c r="AC41" s="583"/>
      <c r="AD41" s="583"/>
      <c r="AE41" s="585"/>
      <c r="AF41" s="585"/>
      <c r="AG41" s="585" t="s">
        <v>62</v>
      </c>
      <c r="AH41" s="585" t="s">
        <v>63</v>
      </c>
      <c r="AI41" s="585" t="s">
        <v>42</v>
      </c>
      <c r="AJ41" s="585" t="str">
        <f t="shared" si="7"/>
        <v/>
      </c>
      <c r="AK41" s="585"/>
    </row>
    <row r="42" spans="1:37" s="2" customFormat="1" ht="15.6" customHeight="1">
      <c r="A42" s="358" t="s">
        <v>364</v>
      </c>
      <c r="B42" s="358" t="s">
        <v>365</v>
      </c>
      <c r="C42" s="11">
        <v>32</v>
      </c>
      <c r="D42" s="20" t="s">
        <v>112</v>
      </c>
      <c r="E42" s="483" t="s">
        <v>260</v>
      </c>
      <c r="F42" s="5" t="s">
        <v>260</v>
      </c>
      <c r="G42" s="642" t="s">
        <v>1891</v>
      </c>
      <c r="H42" s="82" t="s">
        <v>287</v>
      </c>
      <c r="I42" s="200">
        <v>5</v>
      </c>
      <c r="J42" s="48" t="s">
        <v>1751</v>
      </c>
      <c r="K42" s="61">
        <v>0</v>
      </c>
      <c r="L42" s="61">
        <v>0</v>
      </c>
      <c r="M42" s="242">
        <f>IF(K42&gt;3,0,IF(K42=0,5,3))</f>
        <v>5</v>
      </c>
      <c r="N42" s="467">
        <f>IF(L42&gt;3,0,IF(L42=0,5,3))</f>
        <v>5</v>
      </c>
      <c r="O42" s="678">
        <f>IF(AND(L42=0,K42&lt;&gt;0),1,IF(AND(L42=0,K42=0),0,K42/L42-1))</f>
        <v>0</v>
      </c>
      <c r="P42" s="512">
        <f t="shared" si="3"/>
        <v>0</v>
      </c>
      <c r="Q42" s="552">
        <f t="shared" si="10"/>
        <v>0</v>
      </c>
      <c r="R42" s="552">
        <f t="shared" si="4"/>
        <v>0</v>
      </c>
      <c r="S42" s="552">
        <f t="shared" si="5"/>
        <v>0</v>
      </c>
      <c r="T42" s="552">
        <f t="shared" si="6"/>
        <v>0</v>
      </c>
      <c r="U42" s="745"/>
      <c r="V42" s="748"/>
      <c r="W42" s="724">
        <v>1</v>
      </c>
      <c r="X42" s="724">
        <f t="shared" si="11"/>
        <v>5</v>
      </c>
      <c r="Y42" s="583">
        <v>0</v>
      </c>
      <c r="Z42" s="583"/>
      <c r="AA42" s="583">
        <v>0</v>
      </c>
      <c r="AB42" s="724">
        <f t="shared" si="12"/>
        <v>5</v>
      </c>
      <c r="AC42" s="583"/>
      <c r="AD42" s="583"/>
      <c r="AE42" s="585"/>
      <c r="AF42" s="585"/>
      <c r="AG42" s="585"/>
      <c r="AH42" s="585"/>
      <c r="AI42" s="585"/>
      <c r="AJ42" s="585" t="str">
        <f t="shared" si="7"/>
        <v/>
      </c>
      <c r="AK42" s="585"/>
    </row>
    <row r="43" spans="1:37" s="2" customFormat="1" ht="15.6" customHeight="1">
      <c r="A43" s="1683" t="s">
        <v>1051</v>
      </c>
      <c r="B43" s="1683" t="s">
        <v>366</v>
      </c>
      <c r="C43" s="11">
        <v>33</v>
      </c>
      <c r="D43" s="20" t="s">
        <v>113</v>
      </c>
      <c r="E43" s="483" t="s">
        <v>260</v>
      </c>
      <c r="F43" s="5" t="s">
        <v>260</v>
      </c>
      <c r="G43" s="642" t="s">
        <v>486</v>
      </c>
      <c r="H43" s="1583" t="s">
        <v>287</v>
      </c>
      <c r="I43" s="1592">
        <v>2</v>
      </c>
      <c r="J43" s="48" t="s">
        <v>1752</v>
      </c>
      <c r="K43" s="61" t="s">
        <v>114</v>
      </c>
      <c r="L43" s="61" t="s">
        <v>114</v>
      </c>
      <c r="M43" s="1583">
        <v>2</v>
      </c>
      <c r="N43" s="1583">
        <v>2</v>
      </c>
      <c r="O43" s="678">
        <f>IF((K43=L43)=TRUE,0,1)</f>
        <v>0</v>
      </c>
      <c r="P43" s="512">
        <f t="shared" si="3"/>
        <v>0</v>
      </c>
      <c r="Q43" s="552">
        <f t="shared" si="10"/>
        <v>0</v>
      </c>
      <c r="R43" s="552">
        <f t="shared" si="4"/>
        <v>0</v>
      </c>
      <c r="S43" s="552">
        <f t="shared" si="5"/>
        <v>0</v>
      </c>
      <c r="T43" s="552">
        <f t="shared" si="6"/>
        <v>0</v>
      </c>
      <c r="U43" s="745"/>
      <c r="V43" s="748"/>
      <c r="W43" s="1680">
        <v>1</v>
      </c>
      <c r="X43" s="724">
        <f t="shared" si="11"/>
        <v>2</v>
      </c>
      <c r="Y43" s="583">
        <v>0</v>
      </c>
      <c r="Z43" s="583"/>
      <c r="AA43" s="583">
        <v>0</v>
      </c>
      <c r="AB43" s="724">
        <f t="shared" si="12"/>
        <v>2</v>
      </c>
      <c r="AC43" s="583"/>
      <c r="AD43" s="583"/>
      <c r="AE43" s="585"/>
      <c r="AF43" s="585"/>
      <c r="AG43" s="585" t="s">
        <v>114</v>
      </c>
      <c r="AH43" s="585" t="s">
        <v>115</v>
      </c>
      <c r="AI43" s="585" t="s">
        <v>110</v>
      </c>
      <c r="AJ43" s="585" t="str">
        <f t="shared" si="7"/>
        <v/>
      </c>
      <c r="AK43" s="585"/>
    </row>
    <row r="44" spans="1:37" s="2" customFormat="1" ht="15.6" customHeight="1">
      <c r="A44" s="1575"/>
      <c r="B44" s="1575"/>
      <c r="C44" s="11">
        <v>34</v>
      </c>
      <c r="D44" s="20" t="s">
        <v>116</v>
      </c>
      <c r="E44" s="483" t="s">
        <v>260</v>
      </c>
      <c r="F44" s="5" t="s">
        <v>260</v>
      </c>
      <c r="G44" s="642" t="s">
        <v>486</v>
      </c>
      <c r="H44" s="1583"/>
      <c r="I44" s="1592"/>
      <c r="J44" s="48" t="s">
        <v>1753</v>
      </c>
      <c r="K44" s="61" t="s">
        <v>62</v>
      </c>
      <c r="L44" s="61" t="s">
        <v>62</v>
      </c>
      <c r="M44" s="1583"/>
      <c r="N44" s="1583"/>
      <c r="O44" s="678">
        <f>IF((K44=L44)=TRUE,0,1)</f>
        <v>0</v>
      </c>
      <c r="P44" s="512">
        <f t="shared" si="3"/>
        <v>0</v>
      </c>
      <c r="Q44" s="552">
        <f t="shared" si="10"/>
        <v>0</v>
      </c>
      <c r="R44" s="552">
        <f t="shared" si="4"/>
        <v>0</v>
      </c>
      <c r="S44" s="552">
        <f t="shared" si="5"/>
        <v>0</v>
      </c>
      <c r="T44" s="552">
        <f t="shared" si="6"/>
        <v>0</v>
      </c>
      <c r="U44" s="745"/>
      <c r="V44" s="748"/>
      <c r="W44" s="1680"/>
      <c r="X44" s="724">
        <f t="shared" si="11"/>
        <v>0</v>
      </c>
      <c r="Y44" s="583">
        <v>0</v>
      </c>
      <c r="Z44" s="583"/>
      <c r="AA44" s="583">
        <v>0</v>
      </c>
      <c r="AB44" s="724">
        <f t="shared" si="12"/>
        <v>0</v>
      </c>
      <c r="AC44" s="583"/>
      <c r="AD44" s="583"/>
      <c r="AE44" s="585"/>
      <c r="AF44" s="585"/>
      <c r="AG44" s="585" t="s">
        <v>62</v>
      </c>
      <c r="AH44" s="585" t="s">
        <v>63</v>
      </c>
      <c r="AI44" s="585" t="s">
        <v>42</v>
      </c>
      <c r="AJ44" s="585" t="str">
        <f t="shared" si="7"/>
        <v/>
      </c>
      <c r="AK44" s="585"/>
    </row>
    <row r="45" spans="1:37" s="2" customFormat="1" ht="15.6" customHeight="1">
      <c r="A45" s="1683" t="s">
        <v>367</v>
      </c>
      <c r="B45" s="1683" t="s">
        <v>1052</v>
      </c>
      <c r="C45" s="11">
        <v>35</v>
      </c>
      <c r="D45" s="20" t="s">
        <v>117</v>
      </c>
      <c r="E45" s="483" t="s">
        <v>260</v>
      </c>
      <c r="F45" s="5" t="s">
        <v>260</v>
      </c>
      <c r="G45" s="642" t="s">
        <v>486</v>
      </c>
      <c r="H45" s="1583" t="s">
        <v>287</v>
      </c>
      <c r="I45" s="1592">
        <v>1</v>
      </c>
      <c r="J45" s="48" t="s">
        <v>1754</v>
      </c>
      <c r="K45" s="61" t="s">
        <v>118</v>
      </c>
      <c r="L45" s="61" t="s">
        <v>118</v>
      </c>
      <c r="M45" s="1583">
        <v>1</v>
      </c>
      <c r="N45" s="1583">
        <v>1</v>
      </c>
      <c r="O45" s="678">
        <f>IF((K45=L45)=TRUE,0,1)</f>
        <v>0</v>
      </c>
      <c r="P45" s="512">
        <f t="shared" si="3"/>
        <v>0</v>
      </c>
      <c r="Q45" s="552">
        <f t="shared" si="10"/>
        <v>0</v>
      </c>
      <c r="R45" s="552">
        <f t="shared" si="4"/>
        <v>0</v>
      </c>
      <c r="S45" s="552">
        <f t="shared" si="5"/>
        <v>0</v>
      </c>
      <c r="T45" s="552">
        <f t="shared" si="6"/>
        <v>0</v>
      </c>
      <c r="U45" s="745"/>
      <c r="V45" s="748"/>
      <c r="W45" s="1680">
        <v>1</v>
      </c>
      <c r="X45" s="724">
        <f t="shared" si="11"/>
        <v>1</v>
      </c>
      <c r="Y45" s="583">
        <v>0</v>
      </c>
      <c r="Z45" s="583"/>
      <c r="AA45" s="583">
        <v>0</v>
      </c>
      <c r="AB45" s="724">
        <f t="shared" si="12"/>
        <v>1</v>
      </c>
      <c r="AC45" s="583"/>
      <c r="AD45" s="583"/>
      <c r="AE45" s="585"/>
      <c r="AF45" s="585"/>
      <c r="AG45" s="585" t="s">
        <v>118</v>
      </c>
      <c r="AH45" s="585" t="s">
        <v>119</v>
      </c>
      <c r="AI45" s="585" t="s">
        <v>42</v>
      </c>
      <c r="AJ45" s="585" t="str">
        <f t="shared" si="7"/>
        <v/>
      </c>
      <c r="AK45" s="585"/>
    </row>
    <row r="46" spans="1:37" s="2" customFormat="1" ht="15.6" customHeight="1">
      <c r="A46" s="1575"/>
      <c r="B46" s="1575"/>
      <c r="C46" s="11">
        <v>36</v>
      </c>
      <c r="D46" s="20" t="s">
        <v>120</v>
      </c>
      <c r="E46" s="483" t="s">
        <v>260</v>
      </c>
      <c r="F46" s="5" t="s">
        <v>260</v>
      </c>
      <c r="G46" s="642" t="s">
        <v>486</v>
      </c>
      <c r="H46" s="1583"/>
      <c r="I46" s="1592"/>
      <c r="J46" s="48" t="s">
        <v>1755</v>
      </c>
      <c r="K46" s="61" t="s">
        <v>62</v>
      </c>
      <c r="L46" s="61" t="s">
        <v>62</v>
      </c>
      <c r="M46" s="1583"/>
      <c r="N46" s="1583"/>
      <c r="O46" s="678">
        <f>IF((K46=L46)=TRUE,0,1)</f>
        <v>0</v>
      </c>
      <c r="P46" s="512">
        <f t="shared" si="3"/>
        <v>0</v>
      </c>
      <c r="Q46" s="552">
        <f t="shared" si="10"/>
        <v>0</v>
      </c>
      <c r="R46" s="552">
        <f t="shared" si="4"/>
        <v>0</v>
      </c>
      <c r="S46" s="552">
        <f t="shared" si="5"/>
        <v>0</v>
      </c>
      <c r="T46" s="552">
        <f t="shared" si="6"/>
        <v>0</v>
      </c>
      <c r="U46" s="745"/>
      <c r="V46" s="748"/>
      <c r="W46" s="1680"/>
      <c r="X46" s="724">
        <f t="shared" si="11"/>
        <v>0</v>
      </c>
      <c r="Y46" s="583">
        <v>0</v>
      </c>
      <c r="Z46" s="583"/>
      <c r="AA46" s="583">
        <v>0</v>
      </c>
      <c r="AB46" s="724">
        <f t="shared" si="12"/>
        <v>0</v>
      </c>
      <c r="AC46" s="583"/>
      <c r="AD46" s="583"/>
      <c r="AE46" s="585"/>
      <c r="AF46" s="585"/>
      <c r="AG46" s="585" t="s">
        <v>62</v>
      </c>
      <c r="AH46" s="585" t="s">
        <v>63</v>
      </c>
      <c r="AI46" s="585" t="s">
        <v>42</v>
      </c>
      <c r="AJ46" s="585" t="str">
        <f t="shared" si="7"/>
        <v/>
      </c>
      <c r="AK46" s="585"/>
    </row>
    <row r="47" spans="1:37" s="2" customFormat="1" ht="15.6" customHeight="1">
      <c r="A47" s="358" t="s">
        <v>368</v>
      </c>
      <c r="B47" s="358" t="s">
        <v>369</v>
      </c>
      <c r="C47" s="11">
        <v>37</v>
      </c>
      <c r="D47" s="20" t="s">
        <v>121</v>
      </c>
      <c r="E47" s="483" t="s">
        <v>260</v>
      </c>
      <c r="F47" s="5" t="s">
        <v>260</v>
      </c>
      <c r="G47" s="642" t="s">
        <v>1891</v>
      </c>
      <c r="H47" s="82" t="s">
        <v>287</v>
      </c>
      <c r="I47" s="200">
        <v>5</v>
      </c>
      <c r="J47" s="48" t="s">
        <v>1754</v>
      </c>
      <c r="K47" s="61">
        <v>0</v>
      </c>
      <c r="L47" s="61">
        <v>0</v>
      </c>
      <c r="M47" s="467">
        <f>IF(K47&gt;3,0,IF(K47=0,5,3))</f>
        <v>5</v>
      </c>
      <c r="N47" s="467">
        <f>IF(L47&gt;3,0,IF(L47=0,5,3))</f>
        <v>5</v>
      </c>
      <c r="O47" s="678">
        <f>IF(AND(L47=0,K47&lt;&gt;0),1,IF(AND(L47=0,K47=0),0,K47/L47-1))</f>
        <v>0</v>
      </c>
      <c r="P47" s="512">
        <f t="shared" si="3"/>
        <v>0</v>
      </c>
      <c r="Q47" s="552">
        <f t="shared" si="10"/>
        <v>0</v>
      </c>
      <c r="R47" s="552">
        <f t="shared" si="4"/>
        <v>0</v>
      </c>
      <c r="S47" s="552">
        <f t="shared" si="5"/>
        <v>0</v>
      </c>
      <c r="T47" s="552">
        <f t="shared" si="6"/>
        <v>0</v>
      </c>
      <c r="U47" s="745"/>
      <c r="V47" s="748"/>
      <c r="W47" s="724">
        <v>1</v>
      </c>
      <c r="X47" s="724">
        <f t="shared" si="11"/>
        <v>5</v>
      </c>
      <c r="Y47" s="583">
        <v>0</v>
      </c>
      <c r="Z47" s="583"/>
      <c r="AA47" s="583">
        <v>0</v>
      </c>
      <c r="AB47" s="724">
        <f t="shared" si="12"/>
        <v>5</v>
      </c>
      <c r="AC47" s="583"/>
      <c r="AD47" s="583"/>
      <c r="AE47" s="585"/>
      <c r="AF47" s="585"/>
      <c r="AG47" s="585"/>
      <c r="AH47" s="585"/>
      <c r="AI47" s="585"/>
      <c r="AJ47" s="585" t="str">
        <f t="shared" si="7"/>
        <v/>
      </c>
      <c r="AK47" s="585"/>
    </row>
    <row r="48" spans="1:37" s="2" customFormat="1" ht="15.6" customHeight="1">
      <c r="A48" s="1683" t="s">
        <v>370</v>
      </c>
      <c r="B48" s="1683" t="s">
        <v>371</v>
      </c>
      <c r="C48" s="11">
        <v>38</v>
      </c>
      <c r="D48" s="20" t="s">
        <v>122</v>
      </c>
      <c r="E48" s="483" t="s">
        <v>260</v>
      </c>
      <c r="F48" s="5" t="s">
        <v>260</v>
      </c>
      <c r="G48" s="642" t="s">
        <v>486</v>
      </c>
      <c r="H48" s="1583" t="s">
        <v>287</v>
      </c>
      <c r="I48" s="1592">
        <v>1</v>
      </c>
      <c r="J48" s="48" t="s">
        <v>1756</v>
      </c>
      <c r="K48" s="61" t="s">
        <v>123</v>
      </c>
      <c r="L48" s="61" t="s">
        <v>123</v>
      </c>
      <c r="M48" s="1583">
        <v>1</v>
      </c>
      <c r="N48" s="1583">
        <v>1</v>
      </c>
      <c r="O48" s="678">
        <f>IF((K48=L48)=TRUE,0,1)</f>
        <v>0</v>
      </c>
      <c r="P48" s="512">
        <f t="shared" si="3"/>
        <v>0</v>
      </c>
      <c r="Q48" s="552">
        <f t="shared" si="10"/>
        <v>0</v>
      </c>
      <c r="R48" s="552">
        <f t="shared" si="4"/>
        <v>0</v>
      </c>
      <c r="S48" s="552">
        <f t="shared" si="5"/>
        <v>0</v>
      </c>
      <c r="T48" s="552">
        <f t="shared" si="6"/>
        <v>0</v>
      </c>
      <c r="U48" s="745"/>
      <c r="V48" s="748"/>
      <c r="W48" s="1680">
        <v>1</v>
      </c>
      <c r="X48" s="724">
        <f t="shared" si="11"/>
        <v>1</v>
      </c>
      <c r="Y48" s="583">
        <v>0</v>
      </c>
      <c r="Z48" s="583"/>
      <c r="AA48" s="1680">
        <v>1</v>
      </c>
      <c r="AB48" s="724">
        <f t="shared" si="12"/>
        <v>1</v>
      </c>
      <c r="AC48" s="583"/>
      <c r="AD48" s="583"/>
      <c r="AE48" s="1679" t="s">
        <v>1701</v>
      </c>
      <c r="AF48" s="585"/>
      <c r="AG48" s="585" t="s">
        <v>123</v>
      </c>
      <c r="AH48" s="585" t="s">
        <v>124</v>
      </c>
      <c r="AI48" s="585" t="s">
        <v>42</v>
      </c>
      <c r="AJ48" s="585" t="str">
        <f t="shared" si="7"/>
        <v>改为财务管理部1.0权重，投资1.0权重</v>
      </c>
      <c r="AK48" s="585"/>
    </row>
    <row r="49" spans="1:37" s="2" customFormat="1" ht="15.6" customHeight="1">
      <c r="A49" s="1575"/>
      <c r="B49" s="1575"/>
      <c r="C49" s="11">
        <v>39</v>
      </c>
      <c r="D49" s="20" t="s">
        <v>125</v>
      </c>
      <c r="E49" s="483" t="s">
        <v>260</v>
      </c>
      <c r="F49" s="5" t="s">
        <v>260</v>
      </c>
      <c r="G49" s="642" t="s">
        <v>486</v>
      </c>
      <c r="H49" s="1583"/>
      <c r="I49" s="1592"/>
      <c r="J49" s="48" t="s">
        <v>1757</v>
      </c>
      <c r="K49" s="61" t="s">
        <v>62</v>
      </c>
      <c r="L49" s="61" t="s">
        <v>62</v>
      </c>
      <c r="M49" s="1583"/>
      <c r="N49" s="1583"/>
      <c r="O49" s="678">
        <f>IF((K49=L49)=TRUE,0,1)</f>
        <v>0</v>
      </c>
      <c r="P49" s="512">
        <f t="shared" si="3"/>
        <v>0</v>
      </c>
      <c r="Q49" s="552">
        <f t="shared" si="10"/>
        <v>0</v>
      </c>
      <c r="R49" s="552">
        <f t="shared" si="4"/>
        <v>0</v>
      </c>
      <c r="S49" s="552">
        <f t="shared" si="5"/>
        <v>0</v>
      </c>
      <c r="T49" s="552">
        <f t="shared" si="6"/>
        <v>0</v>
      </c>
      <c r="U49" s="745"/>
      <c r="V49" s="748"/>
      <c r="W49" s="1680"/>
      <c r="X49" s="724">
        <f t="shared" si="11"/>
        <v>0</v>
      </c>
      <c r="Y49" s="583">
        <v>0</v>
      </c>
      <c r="Z49" s="583"/>
      <c r="AA49" s="1680"/>
      <c r="AB49" s="724">
        <f t="shared" si="12"/>
        <v>0</v>
      </c>
      <c r="AC49" s="583"/>
      <c r="AD49" s="583"/>
      <c r="AE49" s="1679"/>
      <c r="AF49" s="585"/>
      <c r="AG49" s="585" t="s">
        <v>62</v>
      </c>
      <c r="AH49" s="585" t="s">
        <v>63</v>
      </c>
      <c r="AI49" s="585" t="s">
        <v>42</v>
      </c>
      <c r="AJ49" s="585" t="str">
        <f t="shared" si="7"/>
        <v/>
      </c>
      <c r="AK49" s="585"/>
    </row>
    <row r="50" spans="1:37" s="2" customFormat="1" ht="15.6" customHeight="1">
      <c r="A50" s="1684" t="s">
        <v>372</v>
      </c>
      <c r="B50" s="1684" t="s">
        <v>373</v>
      </c>
      <c r="C50" s="11">
        <v>40</v>
      </c>
      <c r="D50" s="20" t="s">
        <v>126</v>
      </c>
      <c r="E50" s="483" t="s">
        <v>260</v>
      </c>
      <c r="F50" s="5" t="s">
        <v>260</v>
      </c>
      <c r="G50" s="642" t="s">
        <v>486</v>
      </c>
      <c r="H50" s="1583" t="s">
        <v>287</v>
      </c>
      <c r="I50" s="1592">
        <v>1</v>
      </c>
      <c r="J50" s="48" t="s">
        <v>1758</v>
      </c>
      <c r="K50" s="61" t="s">
        <v>127</v>
      </c>
      <c r="L50" s="61" t="s">
        <v>127</v>
      </c>
      <c r="M50" s="1583">
        <v>1</v>
      </c>
      <c r="N50" s="1583">
        <v>1</v>
      </c>
      <c r="O50" s="678">
        <f>IF((K50=L50)=TRUE,0,1)</f>
        <v>0</v>
      </c>
      <c r="P50" s="512">
        <f t="shared" si="3"/>
        <v>0</v>
      </c>
      <c r="Q50" s="552">
        <f t="shared" si="10"/>
        <v>0</v>
      </c>
      <c r="R50" s="552">
        <f t="shared" si="4"/>
        <v>0</v>
      </c>
      <c r="S50" s="552">
        <f t="shared" si="5"/>
        <v>0</v>
      </c>
      <c r="T50" s="552">
        <f t="shared" si="6"/>
        <v>0</v>
      </c>
      <c r="U50" s="745"/>
      <c r="V50" s="748"/>
      <c r="W50" s="1680">
        <v>1</v>
      </c>
      <c r="X50" s="724">
        <f t="shared" si="11"/>
        <v>1</v>
      </c>
      <c r="Y50" s="583">
        <v>0</v>
      </c>
      <c r="Z50" s="583"/>
      <c r="AA50" s="583">
        <v>0</v>
      </c>
      <c r="AB50" s="724">
        <f t="shared" si="12"/>
        <v>1</v>
      </c>
      <c r="AC50" s="583"/>
      <c r="AD50" s="583"/>
      <c r="AE50" s="585"/>
      <c r="AF50" s="585"/>
      <c r="AG50" s="585" t="s">
        <v>127</v>
      </c>
      <c r="AH50" s="585" t="s">
        <v>128</v>
      </c>
      <c r="AI50" s="585" t="s">
        <v>42</v>
      </c>
      <c r="AJ50" s="585" t="str">
        <f t="shared" si="7"/>
        <v/>
      </c>
      <c r="AK50" s="585"/>
    </row>
    <row r="51" spans="1:37" s="2" customFormat="1" ht="15.6" customHeight="1">
      <c r="A51" s="1685"/>
      <c r="B51" s="1685"/>
      <c r="C51" s="11">
        <v>41</v>
      </c>
      <c r="D51" s="20" t="s">
        <v>129</v>
      </c>
      <c r="E51" s="483" t="s">
        <v>260</v>
      </c>
      <c r="F51" s="5" t="s">
        <v>260</v>
      </c>
      <c r="G51" s="642" t="s">
        <v>486</v>
      </c>
      <c r="H51" s="1583"/>
      <c r="I51" s="1592"/>
      <c r="J51" s="48" t="s">
        <v>1759</v>
      </c>
      <c r="K51" s="61" t="s">
        <v>130</v>
      </c>
      <c r="L51" s="61" t="s">
        <v>130</v>
      </c>
      <c r="M51" s="1583"/>
      <c r="N51" s="1583"/>
      <c r="O51" s="678">
        <f>IF((K51=L51)=TRUE,0,1)</f>
        <v>0</v>
      </c>
      <c r="P51" s="512">
        <f t="shared" si="3"/>
        <v>0</v>
      </c>
      <c r="Q51" s="552">
        <f t="shared" si="10"/>
        <v>0</v>
      </c>
      <c r="R51" s="552">
        <f t="shared" si="4"/>
        <v>0</v>
      </c>
      <c r="S51" s="552">
        <f t="shared" si="5"/>
        <v>0</v>
      </c>
      <c r="T51" s="552">
        <f t="shared" si="6"/>
        <v>0</v>
      </c>
      <c r="U51" s="745"/>
      <c r="V51" s="748"/>
      <c r="W51" s="1680"/>
      <c r="X51" s="724">
        <f t="shared" si="11"/>
        <v>0</v>
      </c>
      <c r="Y51" s="583">
        <v>0</v>
      </c>
      <c r="Z51" s="583"/>
      <c r="AA51" s="583">
        <v>0</v>
      </c>
      <c r="AB51" s="724">
        <f t="shared" si="12"/>
        <v>0</v>
      </c>
      <c r="AC51" s="583"/>
      <c r="AD51" s="583"/>
      <c r="AE51" s="585"/>
      <c r="AF51" s="585"/>
      <c r="AG51" s="585" t="s">
        <v>130</v>
      </c>
      <c r="AH51" s="585" t="s">
        <v>131</v>
      </c>
      <c r="AI51" s="585" t="s">
        <v>42</v>
      </c>
      <c r="AJ51" s="585" t="str">
        <f t="shared" si="7"/>
        <v/>
      </c>
      <c r="AK51" s="585"/>
    </row>
    <row r="52" spans="1:37" s="2" customFormat="1" ht="15.6" customHeight="1">
      <c r="A52" s="359" t="s">
        <v>2221</v>
      </c>
      <c r="B52" s="359" t="s">
        <v>2220</v>
      </c>
      <c r="C52" s="11">
        <v>42</v>
      </c>
      <c r="D52" s="20" t="s">
        <v>2219</v>
      </c>
      <c r="E52" s="483" t="s">
        <v>260</v>
      </c>
      <c r="F52" s="5" t="s">
        <v>1053</v>
      </c>
      <c r="G52" s="642" t="s">
        <v>1891</v>
      </c>
      <c r="H52" s="82" t="s">
        <v>287</v>
      </c>
      <c r="I52" s="200">
        <v>5</v>
      </c>
      <c r="J52" s="50"/>
      <c r="K52" s="61">
        <v>0</v>
      </c>
      <c r="L52" s="61">
        <v>0</v>
      </c>
      <c r="M52" s="467">
        <f>IF(K52&gt;3,0,IF(K52=0,5,3))</f>
        <v>5</v>
      </c>
      <c r="N52" s="467">
        <f>IF(L52&gt;3,0,IF(L52=0,5,3))</f>
        <v>5</v>
      </c>
      <c r="O52" s="678">
        <f>IF(AND(L52=0,K52&lt;&gt;0),1,IF(AND(L52=0,K52=0),0,K52/L52-1))</f>
        <v>0</v>
      </c>
      <c r="P52" s="512">
        <f t="shared" si="3"/>
        <v>0</v>
      </c>
      <c r="Q52" s="552">
        <f t="shared" si="10"/>
        <v>0</v>
      </c>
      <c r="R52" s="552">
        <f t="shared" si="4"/>
        <v>0</v>
      </c>
      <c r="S52" s="552">
        <f t="shared" si="5"/>
        <v>0</v>
      </c>
      <c r="T52" s="552">
        <f t="shared" si="6"/>
        <v>0</v>
      </c>
      <c r="U52" s="745"/>
      <c r="V52" s="748"/>
      <c r="W52" s="724">
        <v>0</v>
      </c>
      <c r="X52" s="724">
        <f t="shared" si="11"/>
        <v>5</v>
      </c>
      <c r="Y52" s="583">
        <v>0</v>
      </c>
      <c r="Z52" s="583"/>
      <c r="AA52" s="583">
        <v>1</v>
      </c>
      <c r="AB52" s="724">
        <f t="shared" si="12"/>
        <v>5</v>
      </c>
      <c r="AC52" s="583"/>
      <c r="AD52" s="583"/>
      <c r="AE52" s="585"/>
      <c r="AF52" s="585"/>
      <c r="AG52" s="585"/>
      <c r="AH52" s="585"/>
      <c r="AI52" s="585"/>
      <c r="AJ52" s="585" t="str">
        <f t="shared" si="7"/>
        <v/>
      </c>
      <c r="AK52" s="585"/>
    </row>
    <row r="53" spans="1:37" s="2" customFormat="1" ht="15.6" customHeight="1">
      <c r="A53" s="358" t="s">
        <v>374</v>
      </c>
      <c r="B53" s="358" t="s">
        <v>375</v>
      </c>
      <c r="C53" s="11">
        <v>43</v>
      </c>
      <c r="D53" s="20" t="s">
        <v>133</v>
      </c>
      <c r="E53" s="483" t="s">
        <v>260</v>
      </c>
      <c r="F53" s="5" t="s">
        <v>260</v>
      </c>
      <c r="G53" s="642" t="s">
        <v>1891</v>
      </c>
      <c r="H53" s="82" t="s">
        <v>287</v>
      </c>
      <c r="I53" s="200">
        <v>5</v>
      </c>
      <c r="J53" s="48" t="s">
        <v>1760</v>
      </c>
      <c r="K53" s="61">
        <v>0</v>
      </c>
      <c r="L53" s="61">
        <v>0</v>
      </c>
      <c r="M53" s="467">
        <f>IF(K53&gt;3,0,IF(K53=0,5,3))</f>
        <v>5</v>
      </c>
      <c r="N53" s="467">
        <f>IF(L53&gt;3,0,IF(L53=0,5,3))</f>
        <v>5</v>
      </c>
      <c r="O53" s="678">
        <f>IF(AND(L53=0,K53&lt;&gt;0),1,IF(AND(L53=0,K53=0),0,K53/L53-1))</f>
        <v>0</v>
      </c>
      <c r="P53" s="512">
        <f t="shared" si="3"/>
        <v>0</v>
      </c>
      <c r="Q53" s="552">
        <f t="shared" si="10"/>
        <v>0</v>
      </c>
      <c r="R53" s="552">
        <f t="shared" si="4"/>
        <v>0</v>
      </c>
      <c r="S53" s="552">
        <f t="shared" si="5"/>
        <v>0</v>
      </c>
      <c r="T53" s="552">
        <f t="shared" si="6"/>
        <v>0</v>
      </c>
      <c r="U53" s="745"/>
      <c r="V53" s="748"/>
      <c r="W53" s="724">
        <v>1</v>
      </c>
      <c r="X53" s="724">
        <f t="shared" si="11"/>
        <v>5</v>
      </c>
      <c r="Y53" s="583">
        <v>0</v>
      </c>
      <c r="Z53" s="583"/>
      <c r="AA53" s="583">
        <v>0</v>
      </c>
      <c r="AB53" s="724">
        <f t="shared" si="12"/>
        <v>5</v>
      </c>
      <c r="AC53" s="583"/>
      <c r="AD53" s="583"/>
      <c r="AE53" s="585"/>
      <c r="AF53" s="585"/>
      <c r="AG53" s="585"/>
      <c r="AH53" s="585"/>
      <c r="AI53" s="585"/>
      <c r="AJ53" s="585" t="str">
        <f t="shared" si="7"/>
        <v/>
      </c>
      <c r="AK53" s="585"/>
    </row>
    <row r="54" spans="1:37" s="2" customFormat="1" ht="14.25" customHeight="1">
      <c r="A54" s="1683" t="s">
        <v>376</v>
      </c>
      <c r="B54" s="1683" t="s">
        <v>377</v>
      </c>
      <c r="C54" s="11">
        <v>44</v>
      </c>
      <c r="D54" s="20" t="s">
        <v>134</v>
      </c>
      <c r="E54" s="483" t="s">
        <v>258</v>
      </c>
      <c r="F54" s="5" t="s">
        <v>1049</v>
      </c>
      <c r="G54" s="642" t="s">
        <v>486</v>
      </c>
      <c r="H54" s="1583" t="s">
        <v>287</v>
      </c>
      <c r="I54" s="1592">
        <v>3</v>
      </c>
      <c r="J54" s="48"/>
      <c r="K54" s="61" t="s">
        <v>135</v>
      </c>
      <c r="L54" s="61" t="s">
        <v>135</v>
      </c>
      <c r="M54" s="1583">
        <v>3</v>
      </c>
      <c r="N54" s="1583">
        <v>3</v>
      </c>
      <c r="O54" s="678">
        <f>IF((K54=L54)=TRUE,0,1)</f>
        <v>0</v>
      </c>
      <c r="P54" s="512">
        <f t="shared" si="3"/>
        <v>0</v>
      </c>
      <c r="Q54" s="552">
        <f t="shared" si="10"/>
        <v>0</v>
      </c>
      <c r="R54" s="552">
        <f t="shared" si="4"/>
        <v>0</v>
      </c>
      <c r="S54" s="552">
        <f t="shared" si="5"/>
        <v>0</v>
      </c>
      <c r="T54" s="552">
        <f t="shared" si="6"/>
        <v>0</v>
      </c>
      <c r="U54" s="745"/>
      <c r="V54" s="748"/>
      <c r="W54" s="1680">
        <v>1</v>
      </c>
      <c r="X54" s="724">
        <f t="shared" si="11"/>
        <v>3</v>
      </c>
      <c r="Y54" s="583">
        <v>0</v>
      </c>
      <c r="Z54" s="583"/>
      <c r="AA54" s="583">
        <v>0</v>
      </c>
      <c r="AB54" s="724">
        <f t="shared" si="12"/>
        <v>3</v>
      </c>
      <c r="AC54" s="583"/>
      <c r="AD54" s="583"/>
      <c r="AE54" s="585"/>
      <c r="AF54" s="734" t="s">
        <v>1698</v>
      </c>
      <c r="AG54" s="585" t="s">
        <v>135</v>
      </c>
      <c r="AH54" s="585" t="s">
        <v>136</v>
      </c>
      <c r="AI54" s="585" t="s">
        <v>137</v>
      </c>
      <c r="AJ54" s="585" t="str">
        <f t="shared" si="7"/>
        <v>改为投资部提供数据</v>
      </c>
      <c r="AK54" s="585"/>
    </row>
    <row r="55" spans="1:37" s="2" customFormat="1" ht="15.6" customHeight="1">
      <c r="A55" s="1575"/>
      <c r="B55" s="1575"/>
      <c r="C55" s="11">
        <v>45</v>
      </c>
      <c r="D55" s="20" t="s">
        <v>138</v>
      </c>
      <c r="E55" s="483" t="s">
        <v>258</v>
      </c>
      <c r="F55" s="5" t="s">
        <v>1049</v>
      </c>
      <c r="G55" s="642" t="s">
        <v>486</v>
      </c>
      <c r="H55" s="1583"/>
      <c r="I55" s="1592"/>
      <c r="J55" s="48"/>
      <c r="K55" s="61" t="s">
        <v>62</v>
      </c>
      <c r="L55" s="61" t="s">
        <v>62</v>
      </c>
      <c r="M55" s="1583"/>
      <c r="N55" s="1583"/>
      <c r="O55" s="678">
        <f>IF((K55=L55)=TRUE,0,1)</f>
        <v>0</v>
      </c>
      <c r="P55" s="512">
        <f t="shared" si="3"/>
        <v>0</v>
      </c>
      <c r="Q55" s="552">
        <f t="shared" si="10"/>
        <v>0</v>
      </c>
      <c r="R55" s="552">
        <f t="shared" si="4"/>
        <v>0</v>
      </c>
      <c r="S55" s="552">
        <f t="shared" si="5"/>
        <v>0</v>
      </c>
      <c r="T55" s="552">
        <f t="shared" si="6"/>
        <v>0</v>
      </c>
      <c r="U55" s="745"/>
      <c r="V55" s="748"/>
      <c r="W55" s="1680"/>
      <c r="X55" s="724">
        <f t="shared" si="11"/>
        <v>0</v>
      </c>
      <c r="Y55" s="583">
        <v>0</v>
      </c>
      <c r="Z55" s="583"/>
      <c r="AA55" s="583">
        <v>0</v>
      </c>
      <c r="AB55" s="724">
        <f t="shared" si="12"/>
        <v>0</v>
      </c>
      <c r="AC55" s="583"/>
      <c r="AD55" s="583"/>
      <c r="AE55" s="585"/>
      <c r="AF55" s="734" t="s">
        <v>1698</v>
      </c>
      <c r="AG55" s="585" t="s">
        <v>62</v>
      </c>
      <c r="AH55" s="585" t="s">
        <v>63</v>
      </c>
      <c r="AI55" s="585" t="s">
        <v>42</v>
      </c>
      <c r="AJ55" s="585" t="str">
        <f t="shared" si="7"/>
        <v>改为投资部提供数据</v>
      </c>
      <c r="AK55" s="585"/>
    </row>
    <row r="56" spans="1:37" s="2" customFormat="1" ht="15.6" customHeight="1">
      <c r="A56" s="358" t="s">
        <v>378</v>
      </c>
      <c r="B56" s="358" t="s">
        <v>379</v>
      </c>
      <c r="C56" s="11">
        <v>46</v>
      </c>
      <c r="D56" s="20" t="s">
        <v>139</v>
      </c>
      <c r="E56" s="483" t="s">
        <v>258</v>
      </c>
      <c r="F56" s="5" t="s">
        <v>1049</v>
      </c>
      <c r="G56" s="642" t="s">
        <v>486</v>
      </c>
      <c r="H56" s="76" t="s">
        <v>287</v>
      </c>
      <c r="I56" s="200">
        <v>1</v>
      </c>
      <c r="J56" s="48"/>
      <c r="K56" s="61">
        <v>0</v>
      </c>
      <c r="L56" s="61">
        <v>0</v>
      </c>
      <c r="M56" s="242">
        <f>IF(K56&lt;2,1,0)</f>
        <v>1</v>
      </c>
      <c r="N56" s="467">
        <f>IF(L56&lt;2,1,0)</f>
        <v>1</v>
      </c>
      <c r="O56" s="678">
        <f>IF(AND(L56=0,K56&lt;&gt;0),1,IF(AND(L56=0,K56=0),0,K56/L56-1))</f>
        <v>0</v>
      </c>
      <c r="P56" s="512">
        <f t="shared" si="3"/>
        <v>0</v>
      </c>
      <c r="Q56" s="552">
        <f t="shared" si="10"/>
        <v>0</v>
      </c>
      <c r="R56" s="552">
        <f t="shared" si="4"/>
        <v>0</v>
      </c>
      <c r="S56" s="552">
        <f t="shared" si="5"/>
        <v>0</v>
      </c>
      <c r="T56" s="552">
        <f t="shared" si="6"/>
        <v>0</v>
      </c>
      <c r="U56" s="745"/>
      <c r="V56" s="748"/>
      <c r="W56" s="724">
        <v>1</v>
      </c>
      <c r="X56" s="724">
        <f t="shared" si="11"/>
        <v>1</v>
      </c>
      <c r="Y56" s="724">
        <v>1</v>
      </c>
      <c r="Z56" s="583"/>
      <c r="AA56" s="583">
        <v>0</v>
      </c>
      <c r="AB56" s="724">
        <f t="shared" si="12"/>
        <v>1</v>
      </c>
      <c r="AC56" s="724"/>
      <c r="AD56" s="724"/>
      <c r="AE56" s="734" t="s">
        <v>1702</v>
      </c>
      <c r="AF56" s="585"/>
      <c r="AG56" s="585"/>
      <c r="AH56" s="585"/>
      <c r="AI56" s="585"/>
      <c r="AJ56" s="585" t="str">
        <f t="shared" si="7"/>
        <v>投资部和IT各1.0权重</v>
      </c>
      <c r="AK56" s="585"/>
    </row>
    <row r="57" spans="1:37" s="2" customFormat="1" ht="15.6" customHeight="1">
      <c r="A57" s="358" t="s">
        <v>380</v>
      </c>
      <c r="B57" s="358" t="s">
        <v>381</v>
      </c>
      <c r="C57" s="11">
        <v>47</v>
      </c>
      <c r="D57" s="20" t="s">
        <v>140</v>
      </c>
      <c r="E57" s="483" t="s">
        <v>258</v>
      </c>
      <c r="F57" s="5" t="s">
        <v>258</v>
      </c>
      <c r="G57" s="642" t="s">
        <v>1891</v>
      </c>
      <c r="H57" s="76" t="s">
        <v>287</v>
      </c>
      <c r="I57" s="200">
        <v>1</v>
      </c>
      <c r="J57" s="48"/>
      <c r="K57" s="275">
        <v>0</v>
      </c>
      <c r="L57" s="61">
        <v>0</v>
      </c>
      <c r="M57" s="467">
        <f>IF(K57&lt;1,1,0)</f>
        <v>1</v>
      </c>
      <c r="N57" s="467">
        <f>IF(L57&lt;1,1,0)</f>
        <v>1</v>
      </c>
      <c r="O57" s="678">
        <f>IF(AND(L57=0,K57&lt;&gt;0),1,IF(AND(L57=0,K57=0),0,K57/L57-1))</f>
        <v>0</v>
      </c>
      <c r="P57" s="512">
        <f t="shared" si="3"/>
        <v>0</v>
      </c>
      <c r="Q57" s="552">
        <f t="shared" si="10"/>
        <v>0</v>
      </c>
      <c r="R57" s="552">
        <f t="shared" si="4"/>
        <v>0</v>
      </c>
      <c r="S57" s="552">
        <f t="shared" si="5"/>
        <v>0</v>
      </c>
      <c r="T57" s="552">
        <f t="shared" si="6"/>
        <v>0</v>
      </c>
      <c r="U57" s="745"/>
      <c r="V57" s="748"/>
      <c r="W57" s="724">
        <v>0</v>
      </c>
      <c r="X57" s="724">
        <f t="shared" si="11"/>
        <v>1</v>
      </c>
      <c r="Y57" s="583">
        <v>1</v>
      </c>
      <c r="Z57" s="724">
        <f>$M57</f>
        <v>1</v>
      </c>
      <c r="AA57" s="583">
        <v>0</v>
      </c>
      <c r="AB57" s="724">
        <f t="shared" si="12"/>
        <v>1</v>
      </c>
      <c r="AC57" s="583"/>
      <c r="AD57" s="583"/>
      <c r="AE57" s="585"/>
      <c r="AF57" s="585"/>
      <c r="AG57" s="585"/>
      <c r="AH57" s="585"/>
      <c r="AI57" s="585"/>
      <c r="AJ57" s="585" t="str">
        <f t="shared" si="7"/>
        <v/>
      </c>
      <c r="AK57" s="585"/>
    </row>
    <row r="58" spans="1:37" s="2" customFormat="1" ht="15.6" customHeight="1">
      <c r="A58" s="358" t="s">
        <v>382</v>
      </c>
      <c r="B58" s="358" t="s">
        <v>383</v>
      </c>
      <c r="C58" s="11">
        <v>48</v>
      </c>
      <c r="D58" s="20" t="s">
        <v>141</v>
      </c>
      <c r="E58" s="483" t="s">
        <v>258</v>
      </c>
      <c r="F58" s="5" t="s">
        <v>258</v>
      </c>
      <c r="G58" s="642" t="s">
        <v>1891</v>
      </c>
      <c r="H58" s="76" t="s">
        <v>287</v>
      </c>
      <c r="I58" s="200">
        <v>1</v>
      </c>
      <c r="J58" s="48"/>
      <c r="K58" s="275">
        <v>0</v>
      </c>
      <c r="L58" s="61">
        <v>0</v>
      </c>
      <c r="M58" s="242">
        <f>IF(K58&lt;5,1,0)</f>
        <v>1</v>
      </c>
      <c r="N58" s="467">
        <f>IF(L58&lt;5,1,0)</f>
        <v>1</v>
      </c>
      <c r="O58" s="678">
        <f>IF(AND(L58=0,K58&lt;&gt;0),1,IF(AND(L58=0,K58=0),0,K58/L58-1))</f>
        <v>0</v>
      </c>
      <c r="P58" s="512">
        <f t="shared" si="3"/>
        <v>0</v>
      </c>
      <c r="Q58" s="552">
        <f t="shared" si="10"/>
        <v>0</v>
      </c>
      <c r="R58" s="552">
        <f t="shared" si="4"/>
        <v>0</v>
      </c>
      <c r="S58" s="552">
        <f t="shared" si="5"/>
        <v>0</v>
      </c>
      <c r="T58" s="552">
        <f t="shared" si="6"/>
        <v>0</v>
      </c>
      <c r="U58" s="745"/>
      <c r="V58" s="748"/>
      <c r="W58" s="724">
        <v>0</v>
      </c>
      <c r="X58" s="724">
        <f t="shared" si="11"/>
        <v>1</v>
      </c>
      <c r="Y58" s="583">
        <v>1</v>
      </c>
      <c r="Z58" s="724">
        <f>$M58</f>
        <v>1</v>
      </c>
      <c r="AA58" s="583">
        <v>0</v>
      </c>
      <c r="AB58" s="724">
        <f t="shared" si="12"/>
        <v>1</v>
      </c>
      <c r="AC58" s="583"/>
      <c r="AD58" s="583"/>
      <c r="AE58" s="585"/>
      <c r="AF58" s="585"/>
      <c r="AG58" s="585"/>
      <c r="AH58" s="585"/>
      <c r="AI58" s="585"/>
      <c r="AJ58" s="585" t="str">
        <f t="shared" si="7"/>
        <v/>
      </c>
      <c r="AK58" s="585"/>
    </row>
    <row r="59" spans="1:37" s="2" customFormat="1" ht="15.6" customHeight="1">
      <c r="A59" s="358" t="s">
        <v>384</v>
      </c>
      <c r="B59" s="358" t="s">
        <v>385</v>
      </c>
      <c r="C59" s="11">
        <v>49</v>
      </c>
      <c r="D59" s="20" t="s">
        <v>142</v>
      </c>
      <c r="E59" s="483" t="s">
        <v>258</v>
      </c>
      <c r="F59" s="5" t="s">
        <v>258</v>
      </c>
      <c r="G59" s="642" t="s">
        <v>1891</v>
      </c>
      <c r="H59" s="76" t="s">
        <v>287</v>
      </c>
      <c r="I59" s="200">
        <v>2</v>
      </c>
      <c r="J59" s="48"/>
      <c r="K59" s="275">
        <v>0</v>
      </c>
      <c r="L59" s="61">
        <v>0</v>
      </c>
      <c r="M59" s="467">
        <f>IF(K59&gt;6,0,IF(K59&lt;3,2,1))</f>
        <v>2</v>
      </c>
      <c r="N59" s="467">
        <f>IF(L59&gt;6,0,IF(L59&lt;3,2,1))</f>
        <v>2</v>
      </c>
      <c r="O59" s="678">
        <f>IF(AND(L59=0,K59&lt;&gt;0),1,IF(AND(L59=0,K59=0),0,K59/L59-1))</f>
        <v>0</v>
      </c>
      <c r="P59" s="512">
        <f t="shared" si="3"/>
        <v>0</v>
      </c>
      <c r="Q59" s="552">
        <f t="shared" si="10"/>
        <v>0</v>
      </c>
      <c r="R59" s="552">
        <f t="shared" si="4"/>
        <v>0</v>
      </c>
      <c r="S59" s="552">
        <f t="shared" si="5"/>
        <v>0</v>
      </c>
      <c r="T59" s="552">
        <f t="shared" si="6"/>
        <v>0</v>
      </c>
      <c r="U59" s="745"/>
      <c r="V59" s="748"/>
      <c r="W59" s="724">
        <v>0</v>
      </c>
      <c r="X59" s="724">
        <f t="shared" si="11"/>
        <v>2</v>
      </c>
      <c r="Y59" s="583">
        <v>1</v>
      </c>
      <c r="Z59" s="724">
        <f>$M59</f>
        <v>2</v>
      </c>
      <c r="AA59" s="583">
        <v>0</v>
      </c>
      <c r="AB59" s="724">
        <f t="shared" si="12"/>
        <v>2</v>
      </c>
      <c r="AC59" s="583"/>
      <c r="AD59" s="583"/>
      <c r="AE59" s="585"/>
      <c r="AF59" s="585"/>
      <c r="AG59" s="585"/>
      <c r="AH59" s="585"/>
      <c r="AI59" s="585"/>
      <c r="AJ59" s="585" t="str">
        <f t="shared" si="7"/>
        <v/>
      </c>
      <c r="AK59" s="585"/>
    </row>
    <row r="60" spans="1:37" s="2" customFormat="1" ht="15.6" customHeight="1">
      <c r="A60" s="358" t="s">
        <v>386</v>
      </c>
      <c r="B60" s="358" t="s">
        <v>387</v>
      </c>
      <c r="C60" s="11">
        <v>50</v>
      </c>
      <c r="D60" s="20" t="s">
        <v>143</v>
      </c>
      <c r="E60" s="483" t="s">
        <v>258</v>
      </c>
      <c r="F60" s="5" t="s">
        <v>1050</v>
      </c>
      <c r="G60" s="642" t="s">
        <v>1891</v>
      </c>
      <c r="H60" s="76" t="s">
        <v>287</v>
      </c>
      <c r="I60" s="200">
        <v>2</v>
      </c>
      <c r="J60" s="48"/>
      <c r="K60" s="275">
        <v>0</v>
      </c>
      <c r="L60" s="61">
        <v>0</v>
      </c>
      <c r="M60" s="242">
        <f>IF(K60&lt;3,2,0)</f>
        <v>2</v>
      </c>
      <c r="N60" s="467">
        <f>IF(L60&lt;3,2,0)</f>
        <v>2</v>
      </c>
      <c r="O60" s="678">
        <f>IF(AND(L60=0,K60&lt;&gt;0),1,IF(AND(L60=0,K60=0),0,K60/L60-1))</f>
        <v>0</v>
      </c>
      <c r="P60" s="512">
        <f t="shared" si="3"/>
        <v>0</v>
      </c>
      <c r="Q60" s="552">
        <f t="shared" si="10"/>
        <v>0</v>
      </c>
      <c r="R60" s="552">
        <f t="shared" si="4"/>
        <v>0</v>
      </c>
      <c r="S60" s="552">
        <f t="shared" si="5"/>
        <v>0</v>
      </c>
      <c r="T60" s="552">
        <f t="shared" si="6"/>
        <v>0</v>
      </c>
      <c r="U60" s="745"/>
      <c r="V60" s="748"/>
      <c r="W60" s="724">
        <v>1</v>
      </c>
      <c r="X60" s="724">
        <f t="shared" si="11"/>
        <v>2</v>
      </c>
      <c r="Y60" s="724">
        <v>1</v>
      </c>
      <c r="Z60" s="583"/>
      <c r="AA60" s="583">
        <v>0</v>
      </c>
      <c r="AB60" s="724">
        <f t="shared" si="12"/>
        <v>2</v>
      </c>
      <c r="AC60" s="724"/>
      <c r="AD60" s="724"/>
      <c r="AE60" s="734" t="s">
        <v>1702</v>
      </c>
      <c r="AF60" s="734" t="s">
        <v>1698</v>
      </c>
      <c r="AG60" s="585"/>
      <c r="AH60" s="585"/>
      <c r="AI60" s="585"/>
      <c r="AJ60" s="585" t="str">
        <f t="shared" si="7"/>
        <v>投资部和IT各1.0权重改为投资部提供数据</v>
      </c>
      <c r="AK60" s="585"/>
    </row>
    <row r="61" spans="1:37" s="2" customFormat="1" ht="15.6" customHeight="1">
      <c r="A61" s="358" t="s">
        <v>388</v>
      </c>
      <c r="B61" s="358" t="s">
        <v>389</v>
      </c>
      <c r="C61" s="11">
        <v>51</v>
      </c>
      <c r="D61" s="20" t="s">
        <v>144</v>
      </c>
      <c r="E61" s="483" t="s">
        <v>260</v>
      </c>
      <c r="F61" s="5" t="s">
        <v>260</v>
      </c>
      <c r="G61" s="642" t="s">
        <v>486</v>
      </c>
      <c r="H61" s="76" t="s">
        <v>287</v>
      </c>
      <c r="I61" s="200">
        <v>3</v>
      </c>
      <c r="J61" s="50" t="s">
        <v>1761</v>
      </c>
      <c r="K61" s="61" t="s">
        <v>145</v>
      </c>
      <c r="L61" s="61" t="s">
        <v>145</v>
      </c>
      <c r="M61" s="242">
        <v>3</v>
      </c>
      <c r="N61" s="253">
        <v>3</v>
      </c>
      <c r="O61" s="678">
        <f>IF((K61=L61)=TRUE,0,1)</f>
        <v>0</v>
      </c>
      <c r="P61" s="512">
        <f t="shared" si="3"/>
        <v>0</v>
      </c>
      <c r="Q61" s="552">
        <f t="shared" si="10"/>
        <v>0</v>
      </c>
      <c r="R61" s="552">
        <f t="shared" si="4"/>
        <v>0</v>
      </c>
      <c r="S61" s="552">
        <f t="shared" si="5"/>
        <v>0</v>
      </c>
      <c r="T61" s="552">
        <f t="shared" si="6"/>
        <v>0</v>
      </c>
      <c r="U61" s="745"/>
      <c r="V61" s="748"/>
      <c r="W61" s="724">
        <v>1</v>
      </c>
      <c r="X61" s="724">
        <f t="shared" si="11"/>
        <v>3</v>
      </c>
      <c r="Y61" s="583">
        <v>0</v>
      </c>
      <c r="Z61" s="583"/>
      <c r="AA61" s="583">
        <v>0</v>
      </c>
      <c r="AB61" s="724">
        <f t="shared" si="12"/>
        <v>3</v>
      </c>
      <c r="AC61" s="583"/>
      <c r="AD61" s="583"/>
      <c r="AE61" s="585"/>
      <c r="AF61" s="585"/>
      <c r="AG61" s="585" t="s">
        <v>145</v>
      </c>
      <c r="AH61" s="585" t="s">
        <v>146</v>
      </c>
      <c r="AI61" s="585"/>
      <c r="AJ61" s="585" t="str">
        <f t="shared" si="7"/>
        <v/>
      </c>
      <c r="AK61" s="585"/>
    </row>
    <row r="62" spans="1:37" s="2" customFormat="1" ht="15.6" customHeight="1">
      <c r="A62" s="360" t="s">
        <v>390</v>
      </c>
      <c r="B62" s="360" t="s">
        <v>391</v>
      </c>
      <c r="C62" s="55">
        <v>52</v>
      </c>
      <c r="D62" s="60" t="s">
        <v>147</v>
      </c>
      <c r="E62" s="484" t="s">
        <v>260</v>
      </c>
      <c r="F62" s="56" t="s">
        <v>260</v>
      </c>
      <c r="G62" s="642" t="s">
        <v>486</v>
      </c>
      <c r="H62" s="52" t="s">
        <v>287</v>
      </c>
      <c r="I62" s="201">
        <v>2</v>
      </c>
      <c r="J62" s="48" t="s">
        <v>1762</v>
      </c>
      <c r="K62" s="670" t="s">
        <v>148</v>
      </c>
      <c r="L62" s="670" t="s">
        <v>148</v>
      </c>
      <c r="M62" s="52">
        <v>2</v>
      </c>
      <c r="N62" s="52">
        <v>2</v>
      </c>
      <c r="O62" s="678">
        <f>IF((K62=L62)=TRUE,0,1)</f>
        <v>0</v>
      </c>
      <c r="P62" s="512">
        <f t="shared" si="3"/>
        <v>0</v>
      </c>
      <c r="Q62" s="552">
        <f t="shared" si="10"/>
        <v>0</v>
      </c>
      <c r="R62" s="552">
        <f t="shared" si="4"/>
        <v>0</v>
      </c>
      <c r="S62" s="552">
        <f t="shared" si="5"/>
        <v>0</v>
      </c>
      <c r="T62" s="552">
        <f t="shared" si="6"/>
        <v>0</v>
      </c>
      <c r="U62" s="745"/>
      <c r="V62" s="748"/>
      <c r="W62" s="724">
        <v>1</v>
      </c>
      <c r="X62" s="724">
        <f t="shared" si="11"/>
        <v>2</v>
      </c>
      <c r="Y62" s="583">
        <v>0</v>
      </c>
      <c r="Z62" s="583"/>
      <c r="AA62" s="583">
        <v>0</v>
      </c>
      <c r="AB62" s="724">
        <f t="shared" si="12"/>
        <v>2</v>
      </c>
      <c r="AC62" s="583"/>
      <c r="AD62" s="583"/>
      <c r="AE62" s="585"/>
      <c r="AF62" s="585"/>
      <c r="AG62" s="585" t="s">
        <v>148</v>
      </c>
      <c r="AH62" s="585" t="s">
        <v>149</v>
      </c>
      <c r="AI62" s="585"/>
      <c r="AJ62" s="585" t="str">
        <f t="shared" si="7"/>
        <v/>
      </c>
      <c r="AK62" s="585"/>
    </row>
    <row r="63" spans="1:37" s="2" customFormat="1" ht="15.6" customHeight="1">
      <c r="A63" s="361"/>
      <c r="B63" s="361"/>
      <c r="C63" s="698"/>
      <c r="D63" s="564" t="s">
        <v>281</v>
      </c>
      <c r="E63" s="742"/>
      <c r="F63" s="69"/>
      <c r="G63" s="642"/>
      <c r="H63" s="70"/>
      <c r="I63" s="743">
        <f>SUM(I4:I62)</f>
        <v>80</v>
      </c>
      <c r="J63" s="48"/>
      <c r="K63" s="13"/>
      <c r="L63" s="698"/>
      <c r="M63" s="749">
        <f>SUM(M4:M62)</f>
        <v>80</v>
      </c>
      <c r="N63" s="749">
        <f>SUM(N4:N62)</f>
        <v>80</v>
      </c>
      <c r="O63" s="750"/>
      <c r="P63" s="512">
        <f t="shared" si="3"/>
        <v>0</v>
      </c>
      <c r="Q63" s="718">
        <f t="shared" si="10"/>
        <v>0</v>
      </c>
      <c r="R63" s="718">
        <f t="shared" si="4"/>
        <v>0</v>
      </c>
      <c r="S63" s="718">
        <f t="shared" si="5"/>
        <v>0</v>
      </c>
      <c r="T63" s="718">
        <f t="shared" si="6"/>
        <v>0</v>
      </c>
      <c r="U63" s="746"/>
      <c r="V63" s="585"/>
      <c r="W63" s="585"/>
      <c r="X63" s="585"/>
      <c r="Y63" s="585"/>
      <c r="Z63" s="585"/>
      <c r="AA63" s="585"/>
      <c r="AB63" s="585"/>
      <c r="AC63" s="585"/>
      <c r="AD63" s="585"/>
      <c r="AE63" s="585"/>
      <c r="AF63" s="585"/>
      <c r="AG63" s="734"/>
      <c r="AH63" s="734"/>
      <c r="AI63" s="734"/>
      <c r="AJ63" s="585"/>
      <c r="AK63" s="585"/>
    </row>
    <row r="64" spans="1:37" s="2" customFormat="1" ht="14.25">
      <c r="A64" s="347"/>
      <c r="B64" s="347"/>
      <c r="C64" s="7"/>
      <c r="D64" s="549" t="s">
        <v>1864</v>
      </c>
      <c r="E64" s="488"/>
      <c r="F64" s="26"/>
      <c r="G64" s="83"/>
      <c r="I64" s="788">
        <f>SUM(I4:I62)</f>
        <v>80</v>
      </c>
      <c r="K64" s="7"/>
      <c r="L64" s="7"/>
      <c r="M64" s="751">
        <f>SUM(M4:M62)</f>
        <v>80</v>
      </c>
      <c r="N64" s="751">
        <f>SUM(N4:N62)</f>
        <v>80</v>
      </c>
      <c r="O64" s="26"/>
      <c r="Q64" s="718">
        <f t="shared" si="10"/>
        <v>0</v>
      </c>
      <c r="R64" s="718">
        <f t="shared" si="4"/>
        <v>0</v>
      </c>
      <c r="S64" s="718">
        <f t="shared" si="5"/>
        <v>0</v>
      </c>
      <c r="T64" s="718">
        <f t="shared" si="6"/>
        <v>0</v>
      </c>
      <c r="V64" s="585"/>
      <c r="W64" s="585"/>
      <c r="X64" s="585"/>
      <c r="Y64" s="585"/>
      <c r="Z64" s="585"/>
      <c r="AA64" s="585"/>
      <c r="AB64" s="585"/>
      <c r="AC64" s="585"/>
      <c r="AD64" s="585"/>
      <c r="AE64" s="585"/>
      <c r="AF64" s="585"/>
      <c r="AG64" s="585"/>
      <c r="AH64" s="585"/>
      <c r="AI64" s="732"/>
      <c r="AJ64" s="585"/>
      <c r="AK64" s="585"/>
    </row>
    <row r="65" spans="1:37" s="2" customFormat="1" ht="14.25">
      <c r="A65" s="362"/>
      <c r="B65" s="362"/>
      <c r="C65" s="7"/>
      <c r="D65" s="549" t="s">
        <v>551</v>
      </c>
      <c r="E65" s="488"/>
      <c r="F65" s="26"/>
      <c r="G65" s="32"/>
      <c r="I65" s="788">
        <v>20</v>
      </c>
      <c r="J65" s="26"/>
      <c r="K65" s="7"/>
      <c r="L65" s="7"/>
      <c r="M65" s="751">
        <v>20</v>
      </c>
      <c r="N65" s="751">
        <v>20</v>
      </c>
      <c r="O65" s="26"/>
      <c r="Q65" s="718">
        <f t="shared" si="10"/>
        <v>0</v>
      </c>
      <c r="R65" s="718">
        <f t="shared" si="4"/>
        <v>0</v>
      </c>
      <c r="S65" s="718">
        <f t="shared" si="5"/>
        <v>0</v>
      </c>
      <c r="T65" s="718">
        <f t="shared" si="6"/>
        <v>0</v>
      </c>
      <c r="V65" s="585"/>
      <c r="W65" s="585"/>
      <c r="X65" s="585"/>
      <c r="Y65" s="585"/>
      <c r="Z65" s="585"/>
      <c r="AA65" s="585"/>
      <c r="AB65" s="585"/>
      <c r="AC65" s="585"/>
      <c r="AD65" s="585"/>
      <c r="AE65" s="585"/>
      <c r="AF65" s="585"/>
      <c r="AG65" s="585"/>
      <c r="AH65" s="585"/>
      <c r="AI65" s="585"/>
      <c r="AJ65" s="585"/>
      <c r="AK65" s="585"/>
    </row>
    <row r="66" spans="1:37">
      <c r="A66" s="362"/>
      <c r="B66" s="362"/>
      <c r="C66" s="7"/>
      <c r="D66" s="549" t="s">
        <v>553</v>
      </c>
      <c r="G66" s="32"/>
      <c r="I66" s="744"/>
      <c r="J66" s="26"/>
      <c r="K66" s="7"/>
      <c r="L66" s="7"/>
      <c r="M66" s="752">
        <f>100-SUM(M64:M65)</f>
        <v>0</v>
      </c>
      <c r="N66" s="752">
        <f>100-SUM(N64:N65)</f>
        <v>0</v>
      </c>
      <c r="O66" s="26"/>
      <c r="Q66" s="718">
        <f t="shared" si="10"/>
        <v>0</v>
      </c>
      <c r="R66" s="718">
        <f t="shared" si="4"/>
        <v>0</v>
      </c>
      <c r="S66" s="718">
        <f t="shared" si="5"/>
        <v>0</v>
      </c>
      <c r="T66" s="718">
        <f t="shared" si="6"/>
        <v>0</v>
      </c>
    </row>
    <row r="69" spans="1:37">
      <c r="A69" s="362"/>
      <c r="B69" s="362"/>
      <c r="D69"/>
      <c r="G69" s="32"/>
      <c r="V69" s="585" t="s">
        <v>590</v>
      </c>
      <c r="X69" s="584">
        <f>SUMPRODUCT(X4:X62,W4:W62)</f>
        <v>69.5</v>
      </c>
      <c r="Z69" s="584">
        <f>SUMPRODUCT(Z4:Z62,Y4:Y62)</f>
        <v>4</v>
      </c>
      <c r="AB69" s="584">
        <f>SUMPRODUCT(AB4:AB62,AA4:AA62)</f>
        <v>6</v>
      </c>
    </row>
    <row r="70" spans="1:37">
      <c r="A70" s="362"/>
      <c r="B70" s="362"/>
      <c r="D70"/>
      <c r="G70" s="32"/>
      <c r="V70" s="585" t="s">
        <v>1476</v>
      </c>
      <c r="X70" s="584">
        <f>SUMPRODUCT($I$4:$I$62,W4:W62)</f>
        <v>69.5</v>
      </c>
      <c r="Z70" s="584">
        <f>SUMPRODUCT($I$4:$I$62,Y4:Y62)</f>
        <v>7</v>
      </c>
      <c r="AB70" s="584">
        <f>SUMPRODUCT($I$4:$I$62,AA4:AA62)</f>
        <v>6</v>
      </c>
    </row>
    <row r="71" spans="1:37">
      <c r="A71" s="362"/>
      <c r="B71" s="362"/>
      <c r="D71" s="860" t="s">
        <v>1960</v>
      </c>
      <c r="G71" s="32"/>
    </row>
    <row r="72" spans="1:37">
      <c r="A72" s="362"/>
      <c r="B72" s="362"/>
      <c r="D72" s="893" t="s">
        <v>2008</v>
      </c>
      <c r="G72" s="32"/>
    </row>
    <row r="73" spans="1:37">
      <c r="A73" s="362"/>
      <c r="B73" s="362"/>
      <c r="D73"/>
      <c r="G73" s="32"/>
    </row>
    <row r="74" spans="1:37">
      <c r="A74" s="362"/>
      <c r="B74" s="362"/>
      <c r="D74"/>
      <c r="G74" s="32"/>
    </row>
    <row r="75" spans="1:37">
      <c r="A75" s="362"/>
      <c r="B75" s="362"/>
      <c r="D75"/>
      <c r="G75" s="32"/>
    </row>
    <row r="76" spans="1:37">
      <c r="A76" s="362"/>
      <c r="B76" s="362"/>
      <c r="D76"/>
      <c r="G76" s="32"/>
    </row>
    <row r="77" spans="1:37">
      <c r="A77" s="362"/>
      <c r="B77" s="362"/>
      <c r="D77"/>
      <c r="G77" s="32"/>
    </row>
    <row r="78" spans="1:37">
      <c r="A78" s="362"/>
      <c r="B78" s="362"/>
      <c r="D78"/>
      <c r="G78" s="32"/>
    </row>
    <row r="79" spans="1:37">
      <c r="A79" s="362"/>
      <c r="B79" s="362"/>
      <c r="D79"/>
      <c r="G79" s="32"/>
    </row>
    <row r="80" spans="1:37">
      <c r="A80" s="362"/>
      <c r="B80" s="362"/>
      <c r="D80"/>
      <c r="G80" s="32"/>
    </row>
    <row r="81" spans="1:7">
      <c r="A81" s="362"/>
      <c r="B81" s="362"/>
      <c r="D81"/>
      <c r="G81" s="32"/>
    </row>
    <row r="82" spans="1:7">
      <c r="A82" s="362"/>
      <c r="B82" s="362"/>
      <c r="D82"/>
      <c r="G82" s="32"/>
    </row>
    <row r="83" spans="1:7">
      <c r="A83" s="362"/>
      <c r="B83" s="362"/>
      <c r="D83"/>
      <c r="G83" s="32"/>
    </row>
    <row r="84" spans="1:7">
      <c r="A84" s="362"/>
      <c r="B84" s="362"/>
      <c r="D84"/>
      <c r="G84" s="32"/>
    </row>
    <row r="85" spans="1:7">
      <c r="A85" s="362"/>
      <c r="B85" s="362"/>
      <c r="D85"/>
      <c r="G85" s="32"/>
    </row>
    <row r="86" spans="1:7">
      <c r="A86" s="362"/>
      <c r="B86" s="362"/>
      <c r="D86"/>
      <c r="G86" s="32"/>
    </row>
    <row r="87" spans="1:7">
      <c r="A87" s="362"/>
      <c r="B87" s="362"/>
      <c r="D87"/>
      <c r="G87" s="32"/>
    </row>
    <row r="88" spans="1:7">
      <c r="A88" s="362"/>
      <c r="B88" s="362"/>
      <c r="D88"/>
      <c r="G88" s="32"/>
    </row>
    <row r="89" spans="1:7">
      <c r="A89" s="362"/>
      <c r="B89" s="362"/>
      <c r="D89"/>
      <c r="G89" s="32"/>
    </row>
    <row r="90" spans="1:7">
      <c r="A90" s="362"/>
      <c r="B90" s="362"/>
      <c r="D90"/>
      <c r="G90" s="32"/>
    </row>
    <row r="91" spans="1:7">
      <c r="A91" s="362"/>
      <c r="B91" s="362"/>
      <c r="D91"/>
      <c r="G91" s="32"/>
    </row>
    <row r="92" spans="1:7">
      <c r="A92" s="362"/>
      <c r="B92" s="362"/>
      <c r="D92"/>
      <c r="G92" s="32"/>
    </row>
    <row r="93" spans="1:7">
      <c r="A93" s="362"/>
      <c r="B93" s="362"/>
      <c r="D93"/>
      <c r="G93" s="32"/>
    </row>
    <row r="94" spans="1:7">
      <c r="A94" s="362"/>
      <c r="B94" s="362"/>
      <c r="D94"/>
      <c r="G94" s="32"/>
    </row>
    <row r="95" spans="1:7">
      <c r="A95" s="362"/>
      <c r="B95" s="362"/>
      <c r="D95"/>
      <c r="G95" s="32"/>
    </row>
    <row r="96" spans="1:7">
      <c r="A96" s="362"/>
      <c r="B96" s="362"/>
      <c r="D96"/>
      <c r="G96" s="32"/>
    </row>
    <row r="97" spans="1:7">
      <c r="A97" s="362"/>
      <c r="B97" s="362"/>
      <c r="D97"/>
      <c r="G97" s="32"/>
    </row>
    <row r="98" spans="1:7">
      <c r="A98" s="362"/>
      <c r="B98" s="362"/>
      <c r="D98"/>
      <c r="G98" s="32"/>
    </row>
    <row r="99" spans="1:7">
      <c r="A99" s="362"/>
      <c r="B99" s="362"/>
      <c r="D99"/>
      <c r="G99" s="32"/>
    </row>
    <row r="100" spans="1:7">
      <c r="A100" s="362"/>
      <c r="B100" s="362"/>
      <c r="D100"/>
      <c r="G100" s="32"/>
    </row>
    <row r="101" spans="1:7">
      <c r="A101" s="362"/>
      <c r="B101" s="362"/>
      <c r="D101"/>
      <c r="G101" s="32"/>
    </row>
    <row r="102" spans="1:7">
      <c r="A102" s="362"/>
      <c r="B102" s="362"/>
      <c r="D102"/>
      <c r="G102" s="32"/>
    </row>
    <row r="103" spans="1:7">
      <c r="A103" s="362"/>
      <c r="B103" s="362"/>
      <c r="D103"/>
      <c r="G103" s="32"/>
    </row>
    <row r="104" spans="1:7">
      <c r="A104" s="362"/>
      <c r="B104" s="362"/>
      <c r="D104"/>
      <c r="G104" s="32"/>
    </row>
    <row r="105" spans="1:7">
      <c r="A105" s="362"/>
      <c r="B105" s="362"/>
      <c r="D105"/>
      <c r="G105" s="32"/>
    </row>
    <row r="106" spans="1:7">
      <c r="A106" s="362"/>
      <c r="B106" s="362"/>
      <c r="D106"/>
      <c r="G106" s="32"/>
    </row>
    <row r="107" spans="1:7">
      <c r="A107" s="362"/>
      <c r="B107" s="362"/>
      <c r="D107"/>
      <c r="G107" s="32"/>
    </row>
    <row r="108" spans="1:7">
      <c r="A108" s="362"/>
      <c r="B108" s="362"/>
      <c r="D108"/>
      <c r="G108" s="32"/>
    </row>
    <row r="109" spans="1:7">
      <c r="A109" s="362"/>
      <c r="B109" s="362"/>
      <c r="D109"/>
      <c r="G109" s="32"/>
    </row>
    <row r="110" spans="1:7">
      <c r="A110" s="362"/>
      <c r="B110" s="362"/>
      <c r="D110"/>
      <c r="G110" s="32"/>
    </row>
    <row r="111" spans="1:7">
      <c r="A111" s="362"/>
      <c r="B111" s="362"/>
      <c r="D111"/>
      <c r="G111" s="32"/>
    </row>
    <row r="112" spans="1:7">
      <c r="A112" s="362"/>
      <c r="B112" s="362"/>
      <c r="D112"/>
      <c r="G112" s="32"/>
    </row>
    <row r="113" spans="1:7">
      <c r="A113" s="362"/>
      <c r="B113" s="362"/>
      <c r="D113"/>
      <c r="G113" s="32"/>
    </row>
    <row r="114" spans="1:7">
      <c r="A114" s="362"/>
      <c r="B114" s="362"/>
      <c r="D114"/>
      <c r="G114" s="32"/>
    </row>
    <row r="115" spans="1:7">
      <c r="A115" s="362"/>
      <c r="B115" s="362"/>
      <c r="D115"/>
      <c r="G115" s="32"/>
    </row>
    <row r="116" spans="1:7">
      <c r="A116" s="362"/>
      <c r="B116" s="362"/>
      <c r="D116"/>
      <c r="G116" s="32"/>
    </row>
    <row r="117" spans="1:7">
      <c r="A117" s="362"/>
      <c r="B117" s="362"/>
      <c r="D117"/>
      <c r="G117" s="32"/>
    </row>
    <row r="118" spans="1:7">
      <c r="A118" s="362"/>
      <c r="B118" s="362"/>
      <c r="D118"/>
      <c r="G118" s="32"/>
    </row>
    <row r="119" spans="1:7">
      <c r="A119" s="362"/>
      <c r="B119" s="362"/>
      <c r="D119"/>
      <c r="G119" s="32"/>
    </row>
    <row r="120" spans="1:7">
      <c r="A120" s="362"/>
      <c r="B120" s="362"/>
      <c r="D120"/>
      <c r="G120" s="32"/>
    </row>
    <row r="121" spans="1:7">
      <c r="A121" s="362"/>
      <c r="B121" s="362"/>
      <c r="D121"/>
      <c r="G121" s="32"/>
    </row>
  </sheetData>
  <dataConsolidate/>
  <mergeCells count="105">
    <mergeCell ref="I23:I24"/>
    <mergeCell ref="B38:B39"/>
    <mergeCell ref="M23:M24"/>
    <mergeCell ref="M25:M26"/>
    <mergeCell ref="B25:B26"/>
    <mergeCell ref="M32:M33"/>
    <mergeCell ref="M36:M37"/>
    <mergeCell ref="M38:M39"/>
    <mergeCell ref="B23:B24"/>
    <mergeCell ref="A40:A41"/>
    <mergeCell ref="A43:A44"/>
    <mergeCell ref="A38:A39"/>
    <mergeCell ref="B36:B37"/>
    <mergeCell ref="H23:H24"/>
    <mergeCell ref="H25:H26"/>
    <mergeCell ref="H32:H33"/>
    <mergeCell ref="A23:A24"/>
    <mergeCell ref="A25:A26"/>
    <mergeCell ref="I54:I55"/>
    <mergeCell ref="B40:B41"/>
    <mergeCell ref="B43:B44"/>
    <mergeCell ref="M45:M46"/>
    <mergeCell ref="M48:M49"/>
    <mergeCell ref="M50:M51"/>
    <mergeCell ref="M54:M55"/>
    <mergeCell ref="M40:M41"/>
    <mergeCell ref="M43:M44"/>
    <mergeCell ref="H54:H55"/>
    <mergeCell ref="H40:H41"/>
    <mergeCell ref="H43:H44"/>
    <mergeCell ref="H45:H46"/>
    <mergeCell ref="H48:H49"/>
    <mergeCell ref="H50:H51"/>
    <mergeCell ref="N54:N55"/>
    <mergeCell ref="A54:A55"/>
    <mergeCell ref="B54:B55"/>
    <mergeCell ref="A7:A8"/>
    <mergeCell ref="B7:B8"/>
    <mergeCell ref="A9:A11"/>
    <mergeCell ref="I50:I51"/>
    <mergeCell ref="I36:I37"/>
    <mergeCell ref="I38:I39"/>
    <mergeCell ref="I40:I41"/>
    <mergeCell ref="I43:I44"/>
    <mergeCell ref="I45:I46"/>
    <mergeCell ref="I48:I49"/>
    <mergeCell ref="I25:I26"/>
    <mergeCell ref="I32:I33"/>
    <mergeCell ref="A32:A33"/>
    <mergeCell ref="B32:B33"/>
    <mergeCell ref="A36:A37"/>
    <mergeCell ref="A45:A46"/>
    <mergeCell ref="B45:B46"/>
    <mergeCell ref="A48:A49"/>
    <mergeCell ref="B48:B49"/>
    <mergeCell ref="A50:A51"/>
    <mergeCell ref="B50:B51"/>
    <mergeCell ref="N48:N49"/>
    <mergeCell ref="N7:N8"/>
    <mergeCell ref="M7:M8"/>
    <mergeCell ref="M16:M17"/>
    <mergeCell ref="M21:M22"/>
    <mergeCell ref="N16:N17"/>
    <mergeCell ref="N21:N22"/>
    <mergeCell ref="A16:A17"/>
    <mergeCell ref="B21:B22"/>
    <mergeCell ref="A18:A20"/>
    <mergeCell ref="A21:A22"/>
    <mergeCell ref="B16:B17"/>
    <mergeCell ref="B18:B20"/>
    <mergeCell ref="B9:B11"/>
    <mergeCell ref="A12:A15"/>
    <mergeCell ref="B12:B15"/>
    <mergeCell ref="H7:H8"/>
    <mergeCell ref="I16:I17"/>
    <mergeCell ref="I21:I22"/>
    <mergeCell ref="I7:I8"/>
    <mergeCell ref="H16:H17"/>
    <mergeCell ref="H21:H22"/>
    <mergeCell ref="H36:H37"/>
    <mergeCell ref="H38:H39"/>
    <mergeCell ref="N23:N24"/>
    <mergeCell ref="AE16:AE17"/>
    <mergeCell ref="AE48:AE49"/>
    <mergeCell ref="W50:W51"/>
    <mergeCell ref="W54:W55"/>
    <mergeCell ref="W38:W39"/>
    <mergeCell ref="W40:W41"/>
    <mergeCell ref="W43:W44"/>
    <mergeCell ref="W45:W46"/>
    <mergeCell ref="W48:W49"/>
    <mergeCell ref="W21:W22"/>
    <mergeCell ref="W23:W24"/>
    <mergeCell ref="W25:W26"/>
    <mergeCell ref="W32:W33"/>
    <mergeCell ref="W36:W37"/>
    <mergeCell ref="AA48:AA49"/>
    <mergeCell ref="N50:N51"/>
    <mergeCell ref="N25:N26"/>
    <mergeCell ref="N32:N33"/>
    <mergeCell ref="N36:N37"/>
    <mergeCell ref="N38:N39"/>
    <mergeCell ref="N40:N41"/>
    <mergeCell ref="N43:N44"/>
    <mergeCell ref="N45:N46"/>
  </mergeCells>
  <phoneticPr fontId="3" type="noConversion"/>
  <conditionalFormatting sqref="R5:R64 Q4:U62 T5:T64 Q63:T66">
    <cfRule type="cellIs" dxfId="97" priority="25" operator="lessThan">
      <formula>-0.3</formula>
    </cfRule>
    <cfRule type="cellIs" dxfId="96" priority="26" operator="greaterThan">
      <formula>0.3</formula>
    </cfRule>
  </conditionalFormatting>
  <conditionalFormatting sqref="O4:O62">
    <cfRule type="cellIs" dxfId="95" priority="20" stopIfTrue="1" operator="lessThanOrEqual">
      <formula>-0.3</formula>
    </cfRule>
    <cfRule type="cellIs" dxfId="94" priority="21" stopIfTrue="1" operator="greaterThanOrEqual">
      <formula>0.3</formula>
    </cfRule>
  </conditionalFormatting>
  <conditionalFormatting sqref="M4:N4">
    <cfRule type="cellIs" dxfId="93" priority="29" operator="notEqual">
      <formula>$I$4</formula>
    </cfRule>
  </conditionalFormatting>
  <conditionalFormatting sqref="P4:P63">
    <cfRule type="expression" dxfId="92" priority="13">
      <formula>P4&lt;0</formula>
    </cfRule>
  </conditionalFormatting>
  <conditionalFormatting sqref="P4:P63">
    <cfRule type="cellIs" dxfId="91" priority="11" stopIfTrue="1" operator="lessThan">
      <formula>0</formula>
    </cfRule>
    <cfRule type="cellIs" dxfId="90" priority="12" operator="greaterThan">
      <formula>0</formula>
    </cfRule>
  </conditionalFormatting>
  <conditionalFormatting sqref="P4:P63">
    <cfRule type="cellIs" dxfId="89" priority="9" operator="lessThan">
      <formula>0</formula>
    </cfRule>
    <cfRule type="cellIs" dxfId="88" priority="10" stopIfTrue="1" operator="greaterThan">
      <formula>0</formula>
    </cfRule>
  </conditionalFormatting>
  <conditionalFormatting sqref="P4:P63">
    <cfRule type="cellIs" dxfId="87" priority="7" operator="lessThan">
      <formula>0</formula>
    </cfRule>
    <cfRule type="cellIs" dxfId="86" priority="8" operator="greaterThan">
      <formula>0</formula>
    </cfRule>
  </conditionalFormatting>
  <conditionalFormatting sqref="P4:P63">
    <cfRule type="cellIs" dxfId="85" priority="5" stopIfTrue="1" operator="lessThan">
      <formula>0</formula>
    </cfRule>
    <cfRule type="cellIs" dxfId="84" priority="6" operator="greaterThan">
      <formula>0</formula>
    </cfRule>
  </conditionalFormatting>
  <conditionalFormatting sqref="P4:P63">
    <cfRule type="cellIs" dxfId="83" priority="3" operator="lessThan">
      <formula>0</formula>
    </cfRule>
    <cfRule type="cellIs" dxfId="82" priority="4" stopIfTrue="1" operator="greaterThan">
      <formula>0</formula>
    </cfRule>
  </conditionalFormatting>
  <conditionalFormatting sqref="P4:P63">
    <cfRule type="cellIs" dxfId="81" priority="1" operator="lessThan">
      <formula>0</formula>
    </cfRule>
    <cfRule type="cellIs" dxfId="80" priority="2" operator="greaterThan">
      <formula>0</formula>
    </cfRule>
  </conditionalFormatting>
  <dataValidations count="36">
    <dataValidation type="list" allowBlank="1" showInputMessage="1" showErrorMessage="1" sqref="K5:L5">
      <formula1>$AG$5:$AH$5</formula1>
    </dataValidation>
    <dataValidation type="list" allowBlank="1" showInputMessage="1" showErrorMessage="1" sqref="K7:L7">
      <formula1>$K$7:$AI$7</formula1>
    </dataValidation>
    <dataValidation type="list" allowBlank="1" showInputMessage="1" showErrorMessage="1" sqref="K8:L8">
      <formula1>$K$8:$AI$8</formula1>
    </dataValidation>
    <dataValidation type="list" allowBlank="1" showInputMessage="1" showErrorMessage="1" sqref="K21:L21">
      <formula1>$K$21:$AI$21</formula1>
    </dataValidation>
    <dataValidation type="list" allowBlank="1" showInputMessage="1" showErrorMessage="1" sqref="K22:L22">
      <formula1>$K$22:$AI$22</formula1>
    </dataValidation>
    <dataValidation type="list" allowBlank="1" showInputMessage="1" showErrorMessage="1" sqref="K23:L23">
      <formula1>$K$23:$AI$23</formula1>
    </dataValidation>
    <dataValidation type="list" allowBlank="1" showInputMessage="1" showErrorMessage="1" sqref="K24:L24">
      <formula1>$K$24:$AI$24</formula1>
    </dataValidation>
    <dataValidation type="list" allowBlank="1" showInputMessage="1" showErrorMessage="1" sqref="K25:L25">
      <formula1>$K$25:$AI$25</formula1>
    </dataValidation>
    <dataValidation type="list" allowBlank="1" showInputMessage="1" showErrorMessage="1" sqref="K26:L26">
      <formula1>$K$26:$AI$26</formula1>
    </dataValidation>
    <dataValidation type="list" allowBlank="1" showInputMessage="1" showErrorMessage="1" sqref="K27:L27">
      <formula1>$AG$27:$AH$27</formula1>
    </dataValidation>
    <dataValidation type="list" allowBlank="1" showInputMessage="1" showErrorMessage="1" sqref="K28:L28">
      <formula1>$K$28:$AI$28</formula1>
    </dataValidation>
    <dataValidation type="list" allowBlank="1" showInputMessage="1" showErrorMessage="1" sqref="K29:L29">
      <formula1>$K$29:$AI$29</formula1>
    </dataValidation>
    <dataValidation type="list" allowBlank="1" showInputMessage="1" showErrorMessage="1" sqref="K30:L30">
      <formula1>$K$30:$O$30</formula1>
    </dataValidation>
    <dataValidation type="list" allowBlank="1" showInputMessage="1" showErrorMessage="1" sqref="K31:L31">
      <formula1>$AG$31:$AH$31</formula1>
    </dataValidation>
    <dataValidation type="list" allowBlank="1" showInputMessage="1" showErrorMessage="1" sqref="K32:L32">
      <formula1>$K$32:$AI$32</formula1>
    </dataValidation>
    <dataValidation type="list" allowBlank="1" showInputMessage="1" showErrorMessage="1" sqref="K33:L33">
      <formula1>$K$33:$AI$33</formula1>
    </dataValidation>
    <dataValidation type="list" allowBlank="1" showInputMessage="1" showErrorMessage="1" sqref="K34:L34">
      <formula1>$K$34:$AI$34</formula1>
    </dataValidation>
    <dataValidation type="list" allowBlank="1" showInputMessage="1" showErrorMessage="1" sqref="K35:L35">
      <formula1>$AG$35:$AH$35</formula1>
    </dataValidation>
    <dataValidation type="list" allowBlank="1" showInputMessage="1" showErrorMessage="1" sqref="K36:L36">
      <formula1>$K$36:$AI$36</formula1>
    </dataValidation>
    <dataValidation type="list" allowBlank="1" showInputMessage="1" showErrorMessage="1" sqref="K37:L37">
      <formula1>$K$37:$AI$37</formula1>
    </dataValidation>
    <dataValidation type="list" allowBlank="1" showInputMessage="1" showErrorMessage="1" sqref="K38:L38">
      <formula1>$K$38:$AI$38</formula1>
    </dataValidation>
    <dataValidation type="list" allowBlank="1" showInputMessage="1" showErrorMessage="1" sqref="K39:L39">
      <formula1>$K$39:$AI$39</formula1>
    </dataValidation>
    <dataValidation type="list" allowBlank="1" showInputMessage="1" showErrorMessage="1" sqref="K40:L40">
      <formula1>$K$40:$O$40</formula1>
    </dataValidation>
    <dataValidation type="list" allowBlank="1" showInputMessage="1" showErrorMessage="1" sqref="K41:L41">
      <formula1>$K$41:$AI$41</formula1>
    </dataValidation>
    <dataValidation type="list" allowBlank="1" showInputMessage="1" showErrorMessage="1" sqref="K43:L43">
      <formula1>$K$43:$O$43</formula1>
    </dataValidation>
    <dataValidation type="list" allowBlank="1" showInputMessage="1" showErrorMessage="1" sqref="K44:L44">
      <formula1>$K$44:$AI$44</formula1>
    </dataValidation>
    <dataValidation type="list" allowBlank="1" showInputMessage="1" showErrorMessage="1" sqref="K45:L45">
      <formula1>$K$45:$AI$45</formula1>
    </dataValidation>
    <dataValidation type="list" allowBlank="1" showInputMessage="1" showErrorMessage="1" sqref="K46:L46">
      <formula1>$K$46:$AI$46</formula1>
    </dataValidation>
    <dataValidation type="list" allowBlank="1" showInputMessage="1" showErrorMessage="1" sqref="K48:L48">
      <formula1>$K$48:$AI$48</formula1>
    </dataValidation>
    <dataValidation type="list" allowBlank="1" showInputMessage="1" showErrorMessage="1" sqref="K49:L49">
      <formula1>$K$49:$AI$49</formula1>
    </dataValidation>
    <dataValidation type="list" allowBlank="1" showInputMessage="1" showErrorMessage="1" sqref="K50:L50">
      <formula1>$K$50:$AI$50</formula1>
    </dataValidation>
    <dataValidation type="list" allowBlank="1" showInputMessage="1" showErrorMessage="1" sqref="K51:L51">
      <formula1>$K$51:$AI$51</formula1>
    </dataValidation>
    <dataValidation type="list" allowBlank="1" showInputMessage="1" showErrorMessage="1" sqref="K54:L54">
      <formula1>$K$54:$O$54</formula1>
    </dataValidation>
    <dataValidation type="list" allowBlank="1" showInputMessage="1" showErrorMessage="1" sqref="K55:L55">
      <formula1>$K$55:$AI$55</formula1>
    </dataValidation>
    <dataValidation type="list" allowBlank="1" showInputMessage="1" showErrorMessage="1" sqref="K61:L61">
      <formula1>$AG$61:$AH$61</formula1>
    </dataValidation>
    <dataValidation type="list" allowBlank="1" showInputMessage="1" showErrorMessage="1" sqref="K62:L62">
      <formula1>$AG$62:$AH$62</formula1>
    </dataValidation>
  </dataValidations>
  <hyperlinks>
    <hyperlink ref="D71" location="权重!A1" display="权重!A1"/>
    <hyperlink ref="D72" location="目录!A1" display="目录!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7">
    <tabColor theme="6"/>
  </sheetPr>
  <dimension ref="A1:W162"/>
  <sheetViews>
    <sheetView workbookViewId="0">
      <pane xSplit="8" ySplit="3" topLeftCell="I4" activePane="bottomRight" state="frozenSplit"/>
      <selection activeCell="C1" sqref="C1"/>
      <selection pane="topRight" activeCell="F1" sqref="F1"/>
      <selection pane="bottomLeft" activeCell="C17" sqref="C17"/>
      <selection pane="bottomRight" activeCell="J30" sqref="J30"/>
    </sheetView>
  </sheetViews>
  <sheetFormatPr defaultColWidth="8.875" defaultRowHeight="15" outlineLevelRow="1" outlineLevelCol="2"/>
  <cols>
    <col min="1" max="1" width="20.75" style="3" hidden="1" customWidth="1" outlineLevel="1"/>
    <col min="2" max="2" width="38.25" style="3" hidden="1" customWidth="1" outlineLevel="1"/>
    <col min="3" max="3" width="6.875" style="10" customWidth="1" collapsed="1"/>
    <col min="4" max="4" width="48.625" style="3" customWidth="1"/>
    <col min="5" max="5" width="15.375" style="3" hidden="1" customWidth="1" outlineLevel="1"/>
    <col min="6" max="6" width="11.5" style="87" hidden="1" customWidth="1" outlineLevel="2"/>
    <col min="7" max="7" width="9" style="3" hidden="1" customWidth="1" outlineLevel="1" collapsed="1"/>
    <col min="8" max="8" width="8.875" style="87" customWidth="1" collapsed="1"/>
    <col min="9" max="9" width="17.5" style="3" customWidth="1" collapsed="1"/>
    <col min="10" max="10" width="17.5" style="3" customWidth="1"/>
    <col min="11" max="11" width="8.625" style="3" hidden="1" customWidth="1"/>
    <col min="12" max="12" width="31.875" style="3" hidden="1" customWidth="1"/>
    <col min="13" max="13" width="33.625" style="3" hidden="1" customWidth="1"/>
    <col min="14" max="18" width="8.875" style="3" customWidth="1"/>
    <col min="19" max="21" width="8.875" style="3" customWidth="1" outlineLevel="1"/>
    <col min="22" max="16384" width="8.875" style="3"/>
  </cols>
  <sheetData>
    <row r="1" spans="1:23">
      <c r="A1" s="815"/>
      <c r="B1" s="815"/>
      <c r="C1" s="815" t="s">
        <v>243</v>
      </c>
      <c r="D1" s="815"/>
      <c r="E1" s="43"/>
      <c r="F1" s="43"/>
      <c r="I1" s="239"/>
      <c r="J1" s="43"/>
    </row>
    <row r="2" spans="1:23">
      <c r="A2" s="111"/>
      <c r="B2" s="111"/>
      <c r="C2" s="111"/>
      <c r="D2" s="111"/>
      <c r="E2" s="111"/>
      <c r="F2" s="111"/>
      <c r="I2" s="159"/>
      <c r="J2" s="111"/>
      <c r="K2" s="43"/>
      <c r="P2" s="308" t="s">
        <v>2009</v>
      </c>
    </row>
    <row r="3" spans="1:23">
      <c r="A3" s="14" t="s">
        <v>1911</v>
      </c>
      <c r="B3" s="14" t="s">
        <v>1912</v>
      </c>
      <c r="C3" s="14" t="s">
        <v>230</v>
      </c>
      <c r="D3" s="15" t="s">
        <v>244</v>
      </c>
      <c r="E3" s="15" t="s">
        <v>1803</v>
      </c>
      <c r="F3" s="15" t="s">
        <v>481</v>
      </c>
      <c r="G3" s="15" t="s">
        <v>1804</v>
      </c>
      <c r="H3" s="15" t="s">
        <v>1892</v>
      </c>
      <c r="I3" s="15" t="s">
        <v>1707</v>
      </c>
      <c r="J3" s="721" t="s">
        <v>1811</v>
      </c>
      <c r="K3" s="15" t="s">
        <v>1854</v>
      </c>
      <c r="L3" s="15"/>
      <c r="M3" s="15"/>
      <c r="N3" s="15" t="s">
        <v>1910</v>
      </c>
      <c r="O3" s="721" t="s">
        <v>2124</v>
      </c>
      <c r="P3" s="15" t="s">
        <v>1917</v>
      </c>
      <c r="Q3" s="766" t="s">
        <v>1914</v>
      </c>
      <c r="R3" s="766" t="s">
        <v>554</v>
      </c>
      <c r="S3" s="766" t="s">
        <v>1955</v>
      </c>
      <c r="T3" s="766" t="s">
        <v>1956</v>
      </c>
      <c r="U3" s="766" t="s">
        <v>1957</v>
      </c>
    </row>
    <row r="4" spans="1:23" s="2" customFormat="1" ht="15.6" customHeight="1">
      <c r="A4" s="112" t="s">
        <v>476</v>
      </c>
      <c r="B4" s="112" t="s">
        <v>452</v>
      </c>
      <c r="C4" s="13">
        <v>1</v>
      </c>
      <c r="D4" s="12" t="s">
        <v>207</v>
      </c>
      <c r="E4" s="483" t="s">
        <v>257</v>
      </c>
      <c r="F4" s="798" t="s">
        <v>495</v>
      </c>
      <c r="G4" s="5" t="s">
        <v>287</v>
      </c>
      <c r="H4" s="793">
        <v>5</v>
      </c>
      <c r="I4" s="46" t="s">
        <v>208</v>
      </c>
      <c r="J4" s="46" t="s">
        <v>208</v>
      </c>
      <c r="K4" s="42"/>
      <c r="L4" s="5" t="s">
        <v>208</v>
      </c>
      <c r="M4" s="5" t="s">
        <v>209</v>
      </c>
      <c r="N4" s="795">
        <f t="shared" ref="N4:N22" si="0">IF((J4=I4)=TRUE,0,1)</f>
        <v>0</v>
      </c>
      <c r="O4" s="789">
        <v>5</v>
      </c>
      <c r="P4" s="789">
        <v>5</v>
      </c>
      <c r="Q4" s="512">
        <f>O4-P4</f>
        <v>0</v>
      </c>
      <c r="R4" s="65">
        <f t="shared" ref="R4:R21" si="1">H4-O4</f>
        <v>0</v>
      </c>
      <c r="S4" s="65">
        <f>R4*100%</f>
        <v>0</v>
      </c>
      <c r="T4" s="65">
        <f>S4/9</f>
        <v>0</v>
      </c>
      <c r="U4" s="65">
        <f>T4/2</f>
        <v>0</v>
      </c>
      <c r="V4" s="2" t="s">
        <v>207</v>
      </c>
      <c r="W4" s="2" t="b">
        <f t="shared" ref="W4:W9" si="2">V4=D4</f>
        <v>1</v>
      </c>
    </row>
    <row r="5" spans="1:23" s="2" customFormat="1" ht="15.6" customHeight="1">
      <c r="A5" s="1677" t="s">
        <v>477</v>
      </c>
      <c r="B5" s="1686" t="s">
        <v>453</v>
      </c>
      <c r="C5" s="13">
        <v>2</v>
      </c>
      <c r="D5" s="12" t="s">
        <v>210</v>
      </c>
      <c r="E5" s="483" t="s">
        <v>257</v>
      </c>
      <c r="F5" s="797" t="s">
        <v>491</v>
      </c>
      <c r="G5" s="5" t="s">
        <v>287</v>
      </c>
      <c r="H5" s="793">
        <v>10</v>
      </c>
      <c r="I5" s="46" t="s">
        <v>211</v>
      </c>
      <c r="J5" s="46" t="s">
        <v>211</v>
      </c>
      <c r="K5" s="42"/>
      <c r="L5" s="5" t="s">
        <v>211</v>
      </c>
      <c r="M5" s="5" t="s">
        <v>212</v>
      </c>
      <c r="N5" s="795">
        <f t="shared" si="0"/>
        <v>0</v>
      </c>
      <c r="O5" s="789">
        <v>10</v>
      </c>
      <c r="P5" s="789">
        <v>10</v>
      </c>
      <c r="Q5" s="512">
        <f t="shared" ref="Q5:Q21" si="3">O5-P5</f>
        <v>0</v>
      </c>
      <c r="R5" s="65">
        <f t="shared" si="1"/>
        <v>0</v>
      </c>
      <c r="S5" s="65">
        <f t="shared" ref="S5:S26" si="4">R5*100%</f>
        <v>0</v>
      </c>
      <c r="T5" s="65">
        <f t="shared" ref="T5:T26" si="5">S5/9</f>
        <v>0</v>
      </c>
      <c r="U5" s="65">
        <f t="shared" ref="U5:U26" si="6">T5/2</f>
        <v>0</v>
      </c>
      <c r="V5" s="2" t="s">
        <v>210</v>
      </c>
      <c r="W5" s="2" t="b">
        <f t="shared" si="2"/>
        <v>1</v>
      </c>
    </row>
    <row r="6" spans="1:23" s="2" customFormat="1" ht="15.6" customHeight="1">
      <c r="A6" s="1677"/>
      <c r="B6" s="1686"/>
      <c r="C6" s="13">
        <v>3</v>
      </c>
      <c r="D6" s="12" t="s">
        <v>213</v>
      </c>
      <c r="E6" s="483" t="s">
        <v>257</v>
      </c>
      <c r="F6" s="797" t="s">
        <v>491</v>
      </c>
      <c r="G6" s="5" t="s">
        <v>287</v>
      </c>
      <c r="H6" s="793">
        <v>5</v>
      </c>
      <c r="I6" s="46" t="s">
        <v>214</v>
      </c>
      <c r="J6" s="46" t="s">
        <v>214</v>
      </c>
      <c r="K6" s="42"/>
      <c r="L6" s="5" t="s">
        <v>214</v>
      </c>
      <c r="M6" s="5" t="s">
        <v>215</v>
      </c>
      <c r="N6" s="795">
        <f t="shared" si="0"/>
        <v>0</v>
      </c>
      <c r="O6" s="789">
        <v>5</v>
      </c>
      <c r="P6" s="789">
        <v>5</v>
      </c>
      <c r="Q6" s="512">
        <f t="shared" si="3"/>
        <v>0</v>
      </c>
      <c r="R6" s="65">
        <f t="shared" si="1"/>
        <v>0</v>
      </c>
      <c r="S6" s="65">
        <f t="shared" si="4"/>
        <v>0</v>
      </c>
      <c r="T6" s="65">
        <f t="shared" si="5"/>
        <v>0</v>
      </c>
      <c r="U6" s="65">
        <f t="shared" si="6"/>
        <v>0</v>
      </c>
      <c r="V6" s="2" t="s">
        <v>213</v>
      </c>
      <c r="W6" s="2" t="b">
        <f t="shared" si="2"/>
        <v>1</v>
      </c>
    </row>
    <row r="7" spans="1:23" s="2" customFormat="1" ht="15.6" customHeight="1">
      <c r="A7" s="1677"/>
      <c r="B7" s="1686"/>
      <c r="C7" s="13">
        <v>4</v>
      </c>
      <c r="D7" s="12" t="s">
        <v>216</v>
      </c>
      <c r="E7" s="483" t="s">
        <v>257</v>
      </c>
      <c r="F7" s="797" t="s">
        <v>491</v>
      </c>
      <c r="G7" s="5" t="s">
        <v>287</v>
      </c>
      <c r="H7" s="793">
        <v>5</v>
      </c>
      <c r="I7" s="46" t="s">
        <v>217</v>
      </c>
      <c r="J7" s="46" t="s">
        <v>217</v>
      </c>
      <c r="K7" s="42"/>
      <c r="L7" s="5" t="s">
        <v>217</v>
      </c>
      <c r="M7" s="5" t="s">
        <v>218</v>
      </c>
      <c r="N7" s="795">
        <f t="shared" si="0"/>
        <v>0</v>
      </c>
      <c r="O7" s="789">
        <v>5</v>
      </c>
      <c r="P7" s="789">
        <v>5</v>
      </c>
      <c r="Q7" s="512">
        <f t="shared" si="3"/>
        <v>0</v>
      </c>
      <c r="R7" s="65">
        <f t="shared" si="1"/>
        <v>0</v>
      </c>
      <c r="S7" s="65">
        <f t="shared" si="4"/>
        <v>0</v>
      </c>
      <c r="T7" s="65">
        <f t="shared" si="5"/>
        <v>0</v>
      </c>
      <c r="U7" s="65">
        <f t="shared" si="6"/>
        <v>0</v>
      </c>
      <c r="V7" s="2" t="s">
        <v>216</v>
      </c>
      <c r="W7" s="2" t="b">
        <f t="shared" si="2"/>
        <v>1</v>
      </c>
    </row>
    <row r="8" spans="1:23" s="2" customFormat="1" ht="15.6" customHeight="1">
      <c r="A8" s="1677"/>
      <c r="B8" s="1686"/>
      <c r="C8" s="13">
        <v>5</v>
      </c>
      <c r="D8" s="12" t="s">
        <v>219</v>
      </c>
      <c r="E8" s="483" t="s">
        <v>257</v>
      </c>
      <c r="F8" s="797" t="s">
        <v>491</v>
      </c>
      <c r="G8" s="5" t="s">
        <v>287</v>
      </c>
      <c r="H8" s="793">
        <v>5</v>
      </c>
      <c r="I8" s="46" t="s">
        <v>220</v>
      </c>
      <c r="J8" s="46" t="s">
        <v>220</v>
      </c>
      <c r="K8" s="42"/>
      <c r="L8" s="5" t="s">
        <v>220</v>
      </c>
      <c r="M8" s="5" t="s">
        <v>221</v>
      </c>
      <c r="N8" s="795">
        <f t="shared" si="0"/>
        <v>0</v>
      </c>
      <c r="O8" s="789">
        <v>5</v>
      </c>
      <c r="P8" s="789">
        <v>5</v>
      </c>
      <c r="Q8" s="512">
        <f t="shared" si="3"/>
        <v>0</v>
      </c>
      <c r="R8" s="65">
        <f t="shared" si="1"/>
        <v>0</v>
      </c>
      <c r="S8" s="65">
        <f t="shared" si="4"/>
        <v>0</v>
      </c>
      <c r="T8" s="65">
        <f t="shared" si="5"/>
        <v>0</v>
      </c>
      <c r="U8" s="65">
        <f t="shared" si="6"/>
        <v>0</v>
      </c>
      <c r="V8" s="2" t="s">
        <v>219</v>
      </c>
      <c r="W8" s="2" t="b">
        <f t="shared" si="2"/>
        <v>1</v>
      </c>
    </row>
    <row r="9" spans="1:23" s="2" customFormat="1" ht="15.6" customHeight="1">
      <c r="A9" s="1677"/>
      <c r="B9" s="1686"/>
      <c r="C9" s="13">
        <v>6</v>
      </c>
      <c r="D9" s="12" t="s">
        <v>222</v>
      </c>
      <c r="E9" s="483" t="s">
        <v>257</v>
      </c>
      <c r="F9" s="797" t="s">
        <v>491</v>
      </c>
      <c r="G9" s="5" t="s">
        <v>287</v>
      </c>
      <c r="H9" s="793">
        <v>5</v>
      </c>
      <c r="I9" s="46" t="s">
        <v>223</v>
      </c>
      <c r="J9" s="46" t="s">
        <v>223</v>
      </c>
      <c r="K9" s="5"/>
      <c r="L9" s="5" t="s">
        <v>223</v>
      </c>
      <c r="M9" s="5" t="s">
        <v>224</v>
      </c>
      <c r="N9" s="795">
        <f t="shared" si="0"/>
        <v>0</v>
      </c>
      <c r="O9" s="789">
        <v>5</v>
      </c>
      <c r="P9" s="789">
        <v>5</v>
      </c>
      <c r="Q9" s="512">
        <f t="shared" si="3"/>
        <v>0</v>
      </c>
      <c r="R9" s="65">
        <f t="shared" si="1"/>
        <v>0</v>
      </c>
      <c r="S9" s="65">
        <f t="shared" si="4"/>
        <v>0</v>
      </c>
      <c r="T9" s="65">
        <f t="shared" si="5"/>
        <v>0</v>
      </c>
      <c r="U9" s="65">
        <f t="shared" si="6"/>
        <v>0</v>
      </c>
      <c r="V9" s="2" t="s">
        <v>222</v>
      </c>
      <c r="W9" s="2" t="b">
        <f t="shared" si="2"/>
        <v>1</v>
      </c>
    </row>
    <row r="10" spans="1:23" s="2" customFormat="1" ht="15.6" customHeight="1">
      <c r="A10" s="1584" t="s">
        <v>465</v>
      </c>
      <c r="B10" s="1587" t="s">
        <v>466</v>
      </c>
      <c r="C10" s="13">
        <v>7</v>
      </c>
      <c r="D10" s="12" t="s">
        <v>463</v>
      </c>
      <c r="E10" s="483"/>
      <c r="F10" s="797" t="s">
        <v>496</v>
      </c>
      <c r="G10" s="638" t="s">
        <v>287</v>
      </c>
      <c r="H10" s="793">
        <v>20</v>
      </c>
      <c r="I10" s="46"/>
      <c r="J10" s="46"/>
      <c r="K10" s="46"/>
      <c r="L10" s="5"/>
      <c r="M10" s="5"/>
      <c r="N10" s="795">
        <f t="shared" si="0"/>
        <v>0</v>
      </c>
      <c r="O10" s="789">
        <v>20</v>
      </c>
      <c r="P10" s="789">
        <v>20</v>
      </c>
      <c r="Q10" s="512">
        <f t="shared" si="3"/>
        <v>0</v>
      </c>
      <c r="R10" s="65">
        <f t="shared" si="1"/>
        <v>0</v>
      </c>
      <c r="S10" s="65">
        <f t="shared" si="4"/>
        <v>0</v>
      </c>
      <c r="T10" s="65">
        <f t="shared" si="5"/>
        <v>0</v>
      </c>
      <c r="U10" s="65">
        <f t="shared" si="6"/>
        <v>0</v>
      </c>
    </row>
    <row r="11" spans="1:23" s="2" customFormat="1" ht="15.6" customHeight="1" outlineLevel="1">
      <c r="A11" s="1585"/>
      <c r="B11" s="1588"/>
      <c r="C11" s="791">
        <v>7.1</v>
      </c>
      <c r="D11" s="5" t="s">
        <v>454</v>
      </c>
      <c r="E11" s="483" t="s">
        <v>257</v>
      </c>
      <c r="F11" s="797"/>
      <c r="G11" s="5"/>
      <c r="H11" s="792"/>
      <c r="I11" s="5">
        <v>0</v>
      </c>
      <c r="J11" s="5">
        <v>0</v>
      </c>
      <c r="K11" s="42"/>
      <c r="L11" s="5"/>
      <c r="M11" s="5"/>
      <c r="N11" s="795">
        <f t="shared" si="0"/>
        <v>0</v>
      </c>
      <c r="O11" s="5"/>
      <c r="P11" s="5"/>
      <c r="Q11" s="512">
        <f t="shared" si="3"/>
        <v>0</v>
      </c>
      <c r="R11" s="65">
        <f t="shared" si="1"/>
        <v>0</v>
      </c>
      <c r="S11" s="65">
        <f t="shared" si="4"/>
        <v>0</v>
      </c>
      <c r="T11" s="65">
        <f t="shared" si="5"/>
        <v>0</v>
      </c>
      <c r="U11" s="65">
        <f t="shared" si="6"/>
        <v>0</v>
      </c>
    </row>
    <row r="12" spans="1:23" s="2" customFormat="1" ht="15.6" customHeight="1" outlineLevel="1">
      <c r="A12" s="1585"/>
      <c r="B12" s="1588"/>
      <c r="C12" s="791">
        <v>7.2</v>
      </c>
      <c r="D12" s="5" t="s">
        <v>455</v>
      </c>
      <c r="E12" s="483" t="s">
        <v>257</v>
      </c>
      <c r="F12" s="797"/>
      <c r="G12" s="5"/>
      <c r="H12" s="792"/>
      <c r="I12" s="5">
        <v>0</v>
      </c>
      <c r="J12" s="5">
        <v>0</v>
      </c>
      <c r="K12" s="42"/>
      <c r="L12" s="5"/>
      <c r="M12" s="5"/>
      <c r="N12" s="795">
        <f t="shared" si="0"/>
        <v>0</v>
      </c>
      <c r="O12" s="5"/>
      <c r="P12" s="5"/>
      <c r="Q12" s="512">
        <f t="shared" si="3"/>
        <v>0</v>
      </c>
      <c r="R12" s="65">
        <f t="shared" si="1"/>
        <v>0</v>
      </c>
      <c r="S12" s="65">
        <f t="shared" si="4"/>
        <v>0</v>
      </c>
      <c r="T12" s="65">
        <f t="shared" si="5"/>
        <v>0</v>
      </c>
      <c r="U12" s="65">
        <f t="shared" si="6"/>
        <v>0</v>
      </c>
    </row>
    <row r="13" spans="1:23" s="2" customFormat="1" ht="15.6" customHeight="1" outlineLevel="1">
      <c r="A13" s="1585"/>
      <c r="B13" s="1588"/>
      <c r="C13" s="791">
        <v>7.3</v>
      </c>
      <c r="D13" s="46" t="s">
        <v>456</v>
      </c>
      <c r="E13" s="483" t="s">
        <v>257</v>
      </c>
      <c r="F13" s="797"/>
      <c r="G13" s="5"/>
      <c r="H13" s="792"/>
      <c r="I13" s="5">
        <v>0</v>
      </c>
      <c r="J13" s="5">
        <v>0</v>
      </c>
      <c r="K13" s="42"/>
      <c r="L13" s="5"/>
      <c r="M13" s="5"/>
      <c r="N13" s="795">
        <f t="shared" si="0"/>
        <v>0</v>
      </c>
      <c r="O13" s="5"/>
      <c r="P13" s="5"/>
      <c r="Q13" s="512">
        <f t="shared" si="3"/>
        <v>0</v>
      </c>
      <c r="R13" s="65">
        <f t="shared" si="1"/>
        <v>0</v>
      </c>
      <c r="S13" s="65">
        <f t="shared" si="4"/>
        <v>0</v>
      </c>
      <c r="T13" s="65">
        <f t="shared" si="5"/>
        <v>0</v>
      </c>
      <c r="U13" s="65">
        <f t="shared" si="6"/>
        <v>0</v>
      </c>
    </row>
    <row r="14" spans="1:23" s="2" customFormat="1" ht="15.6" customHeight="1" outlineLevel="1">
      <c r="A14" s="1585"/>
      <c r="B14" s="1588"/>
      <c r="C14" s="791">
        <v>7.4</v>
      </c>
      <c r="D14" s="5" t="s">
        <v>457</v>
      </c>
      <c r="E14" s="483" t="s">
        <v>257</v>
      </c>
      <c r="F14" s="797"/>
      <c r="G14" s="5"/>
      <c r="H14" s="792"/>
      <c r="I14" s="5">
        <v>0</v>
      </c>
      <c r="J14" s="5">
        <v>0</v>
      </c>
      <c r="K14" s="42"/>
      <c r="L14" s="5"/>
      <c r="M14" s="5"/>
      <c r="N14" s="795">
        <f t="shared" si="0"/>
        <v>0</v>
      </c>
      <c r="O14" s="5"/>
      <c r="P14" s="5"/>
      <c r="Q14" s="512">
        <f t="shared" si="3"/>
        <v>0</v>
      </c>
      <c r="R14" s="65">
        <f t="shared" si="1"/>
        <v>0</v>
      </c>
      <c r="S14" s="65">
        <f t="shared" si="4"/>
        <v>0</v>
      </c>
      <c r="T14" s="65">
        <f t="shared" si="5"/>
        <v>0</v>
      </c>
      <c r="U14" s="65">
        <f t="shared" si="6"/>
        <v>0</v>
      </c>
    </row>
    <row r="15" spans="1:23" s="2" customFormat="1" ht="32.450000000000003" customHeight="1" outlineLevel="1">
      <c r="A15" s="1586"/>
      <c r="B15" s="1589"/>
      <c r="C15" s="791">
        <v>7.5</v>
      </c>
      <c r="D15" s="49" t="s">
        <v>458</v>
      </c>
      <c r="E15" s="483" t="s">
        <v>257</v>
      </c>
      <c r="F15" s="797"/>
      <c r="G15" s="5"/>
      <c r="H15" s="792"/>
      <c r="I15" s="5">
        <v>0</v>
      </c>
      <c r="J15" s="5">
        <v>0</v>
      </c>
      <c r="K15" s="42"/>
      <c r="L15" s="5"/>
      <c r="M15" s="5"/>
      <c r="N15" s="795">
        <f t="shared" si="0"/>
        <v>0</v>
      </c>
      <c r="O15" s="5"/>
      <c r="P15" s="5"/>
      <c r="Q15" s="512">
        <f t="shared" si="3"/>
        <v>0</v>
      </c>
      <c r="R15" s="65">
        <f t="shared" si="1"/>
        <v>0</v>
      </c>
      <c r="S15" s="65">
        <f t="shared" si="4"/>
        <v>0</v>
      </c>
      <c r="T15" s="65">
        <f t="shared" si="5"/>
        <v>0</v>
      </c>
      <c r="U15" s="65">
        <f t="shared" si="6"/>
        <v>0</v>
      </c>
    </row>
    <row r="16" spans="1:23" s="2" customFormat="1" ht="15.6" customHeight="1">
      <c r="A16" s="113" t="s">
        <v>529</v>
      </c>
      <c r="B16" s="796" t="s">
        <v>467</v>
      </c>
      <c r="C16" s="13">
        <v>8</v>
      </c>
      <c r="D16" s="85" t="s">
        <v>468</v>
      </c>
      <c r="E16" s="483" t="s">
        <v>257</v>
      </c>
      <c r="F16" s="797" t="s">
        <v>497</v>
      </c>
      <c r="G16" s="5" t="s">
        <v>287</v>
      </c>
      <c r="H16" s="793">
        <v>5</v>
      </c>
      <c r="I16" s="46" t="s">
        <v>208</v>
      </c>
      <c r="J16" s="49" t="s">
        <v>208</v>
      </c>
      <c r="K16" s="42"/>
      <c r="L16" s="5" t="s">
        <v>208</v>
      </c>
      <c r="M16" s="5" t="s">
        <v>209</v>
      </c>
      <c r="N16" s="795">
        <f t="shared" si="0"/>
        <v>0</v>
      </c>
      <c r="O16" s="792">
        <v>5</v>
      </c>
      <c r="P16" s="792">
        <v>5</v>
      </c>
      <c r="Q16" s="512">
        <f t="shared" si="3"/>
        <v>0</v>
      </c>
      <c r="R16" s="65">
        <f t="shared" si="1"/>
        <v>0</v>
      </c>
      <c r="S16" s="65">
        <f t="shared" si="4"/>
        <v>0</v>
      </c>
      <c r="T16" s="65">
        <f t="shared" si="5"/>
        <v>0</v>
      </c>
      <c r="U16" s="65">
        <f t="shared" si="6"/>
        <v>0</v>
      </c>
    </row>
    <row r="17" spans="1:21" s="2" customFormat="1" ht="15.6" customHeight="1">
      <c r="A17" s="1584" t="s">
        <v>469</v>
      </c>
      <c r="B17" s="1587" t="s">
        <v>470</v>
      </c>
      <c r="C17" s="13">
        <v>9</v>
      </c>
      <c r="D17" s="12" t="s">
        <v>459</v>
      </c>
      <c r="E17" s="483"/>
      <c r="F17" s="797" t="s">
        <v>496</v>
      </c>
      <c r="G17" s="5" t="s">
        <v>287</v>
      </c>
      <c r="H17" s="793">
        <v>15</v>
      </c>
      <c r="I17" s="5">
        <v>0</v>
      </c>
      <c r="J17" s="5">
        <v>0</v>
      </c>
      <c r="K17" s="42"/>
      <c r="L17" s="5"/>
      <c r="M17" s="5"/>
      <c r="N17" s="795">
        <f t="shared" si="0"/>
        <v>0</v>
      </c>
      <c r="O17" s="792">
        <v>15</v>
      </c>
      <c r="P17" s="792">
        <v>15</v>
      </c>
      <c r="Q17" s="512">
        <f t="shared" si="3"/>
        <v>0</v>
      </c>
      <c r="R17" s="65">
        <f t="shared" si="1"/>
        <v>0</v>
      </c>
      <c r="S17" s="65">
        <f t="shared" si="4"/>
        <v>0</v>
      </c>
      <c r="T17" s="65">
        <f t="shared" si="5"/>
        <v>0</v>
      </c>
      <c r="U17" s="65">
        <f t="shared" si="6"/>
        <v>0</v>
      </c>
    </row>
    <row r="18" spans="1:21" s="2" customFormat="1" ht="15.6" customHeight="1" outlineLevel="1">
      <c r="A18" s="1585"/>
      <c r="B18" s="1588"/>
      <c r="C18" s="791">
        <v>9.1</v>
      </c>
      <c r="D18" s="5" t="s">
        <v>462</v>
      </c>
      <c r="E18" s="483" t="s">
        <v>257</v>
      </c>
      <c r="F18" s="797"/>
      <c r="G18" s="5"/>
      <c r="H18" s="792"/>
      <c r="I18" s="5">
        <v>0</v>
      </c>
      <c r="J18" s="5">
        <v>0</v>
      </c>
      <c r="K18" s="42"/>
      <c r="L18" s="5"/>
      <c r="M18" s="5"/>
      <c r="N18" s="795">
        <f t="shared" si="0"/>
        <v>0</v>
      </c>
      <c r="O18" s="5"/>
      <c r="P18" s="5"/>
      <c r="Q18" s="512">
        <f t="shared" si="3"/>
        <v>0</v>
      </c>
      <c r="R18" s="65">
        <f t="shared" si="1"/>
        <v>0</v>
      </c>
      <c r="S18" s="65">
        <f t="shared" si="4"/>
        <v>0</v>
      </c>
      <c r="T18" s="65">
        <f t="shared" si="5"/>
        <v>0</v>
      </c>
      <c r="U18" s="65">
        <f t="shared" si="6"/>
        <v>0</v>
      </c>
    </row>
    <row r="19" spans="1:21" s="2" customFormat="1" ht="15.6" customHeight="1" outlineLevel="1">
      <c r="A19" s="1586"/>
      <c r="B19" s="1589"/>
      <c r="C19" s="791">
        <v>9.1999999999999993</v>
      </c>
      <c r="D19" s="5" t="s">
        <v>464</v>
      </c>
      <c r="E19" s="483" t="s">
        <v>257</v>
      </c>
      <c r="F19" s="797"/>
      <c r="G19" s="5"/>
      <c r="H19" s="792"/>
      <c r="I19" s="5">
        <v>0</v>
      </c>
      <c r="J19" s="5">
        <v>0</v>
      </c>
      <c r="K19" s="42"/>
      <c r="L19" s="5"/>
      <c r="M19" s="5"/>
      <c r="N19" s="795">
        <f t="shared" si="0"/>
        <v>0</v>
      </c>
      <c r="O19" s="5"/>
      <c r="P19" s="5"/>
      <c r="Q19" s="512">
        <f t="shared" si="3"/>
        <v>0</v>
      </c>
      <c r="R19" s="65">
        <f t="shared" si="1"/>
        <v>0</v>
      </c>
      <c r="S19" s="65">
        <f t="shared" si="4"/>
        <v>0</v>
      </c>
      <c r="T19" s="65">
        <f t="shared" si="5"/>
        <v>0</v>
      </c>
      <c r="U19" s="65">
        <f t="shared" si="6"/>
        <v>0</v>
      </c>
    </row>
    <row r="20" spans="1:21" s="2" customFormat="1" ht="15.6" customHeight="1">
      <c r="A20" s="1584" t="s">
        <v>471</v>
      </c>
      <c r="B20" s="1587" t="s">
        <v>472</v>
      </c>
      <c r="C20" s="13">
        <v>10</v>
      </c>
      <c r="D20" s="12" t="s">
        <v>460</v>
      </c>
      <c r="E20" s="483"/>
      <c r="F20" s="797" t="s">
        <v>496</v>
      </c>
      <c r="G20" s="5" t="s">
        <v>287</v>
      </c>
      <c r="H20" s="793">
        <v>15</v>
      </c>
      <c r="I20" s="5">
        <v>0</v>
      </c>
      <c r="J20" s="5">
        <v>0</v>
      </c>
      <c r="K20" s="42"/>
      <c r="L20" s="5"/>
      <c r="M20" s="5"/>
      <c r="N20" s="795">
        <f t="shared" si="0"/>
        <v>0</v>
      </c>
      <c r="O20" s="792">
        <v>15</v>
      </c>
      <c r="P20" s="792">
        <v>15</v>
      </c>
      <c r="Q20" s="512">
        <f t="shared" si="3"/>
        <v>0</v>
      </c>
      <c r="R20" s="65">
        <f t="shared" si="1"/>
        <v>0</v>
      </c>
      <c r="S20" s="65">
        <f t="shared" si="4"/>
        <v>0</v>
      </c>
      <c r="T20" s="65">
        <f t="shared" si="5"/>
        <v>0</v>
      </c>
      <c r="U20" s="65">
        <f t="shared" si="6"/>
        <v>0</v>
      </c>
    </row>
    <row r="21" spans="1:21" s="2" customFormat="1" ht="15.6" customHeight="1" outlineLevel="1">
      <c r="A21" s="1586"/>
      <c r="B21" s="1589"/>
      <c r="C21" s="791">
        <v>10.1</v>
      </c>
      <c r="D21" s="5" t="s">
        <v>461</v>
      </c>
      <c r="E21" s="483" t="s">
        <v>257</v>
      </c>
      <c r="F21" s="797"/>
      <c r="G21" s="5"/>
      <c r="H21" s="792"/>
      <c r="I21" s="5">
        <v>0</v>
      </c>
      <c r="J21" s="5">
        <v>0</v>
      </c>
      <c r="K21" s="42"/>
      <c r="L21" s="5"/>
      <c r="M21" s="5"/>
      <c r="N21" s="795">
        <f t="shared" si="0"/>
        <v>0</v>
      </c>
      <c r="O21" s="5"/>
      <c r="P21" s="5"/>
      <c r="Q21" s="512">
        <f t="shared" si="3"/>
        <v>0</v>
      </c>
      <c r="R21" s="65">
        <f t="shared" si="1"/>
        <v>0</v>
      </c>
      <c r="S21" s="65">
        <f t="shared" si="4"/>
        <v>0</v>
      </c>
      <c r="T21" s="65">
        <f t="shared" si="5"/>
        <v>0</v>
      </c>
      <c r="U21" s="65">
        <f t="shared" si="6"/>
        <v>0</v>
      </c>
    </row>
    <row r="22" spans="1:21" s="2" customFormat="1" ht="15.6" customHeight="1" thickBot="1">
      <c r="A22" s="110" t="s">
        <v>478</v>
      </c>
      <c r="B22" s="790" t="s">
        <v>479</v>
      </c>
      <c r="C22" s="13">
        <v>11</v>
      </c>
      <c r="D22" s="903" t="s">
        <v>473</v>
      </c>
      <c r="E22" s="484" t="s">
        <v>257</v>
      </c>
      <c r="F22" s="841" t="s">
        <v>496</v>
      </c>
      <c r="G22" s="56" t="s">
        <v>554</v>
      </c>
      <c r="H22" s="904" t="s">
        <v>474</v>
      </c>
      <c r="I22" s="56">
        <v>0</v>
      </c>
      <c r="J22" s="56">
        <v>0</v>
      </c>
      <c r="K22" s="905"/>
      <c r="L22" s="56"/>
      <c r="M22" s="56"/>
      <c r="N22" s="906">
        <f t="shared" si="0"/>
        <v>0</v>
      </c>
      <c r="O22" s="838" t="s">
        <v>1178</v>
      </c>
      <c r="P22" s="838" t="s">
        <v>1178</v>
      </c>
      <c r="Q22" s="897">
        <f>0</f>
        <v>0</v>
      </c>
      <c r="R22" s="837">
        <f>0</f>
        <v>0</v>
      </c>
      <c r="S22" s="837">
        <f t="shared" si="4"/>
        <v>0</v>
      </c>
      <c r="T22" s="837">
        <f t="shared" si="5"/>
        <v>0</v>
      </c>
      <c r="U22" s="837">
        <f t="shared" si="6"/>
        <v>0</v>
      </c>
    </row>
    <row r="23" spans="1:21" s="2" customFormat="1" ht="16.5">
      <c r="A23" s="5"/>
      <c r="B23" s="275"/>
      <c r="C23" s="275"/>
      <c r="D23" s="907" t="s">
        <v>280</v>
      </c>
      <c r="E23" s="908"/>
      <c r="F23" s="909"/>
      <c r="G23" s="910"/>
      <c r="H23" s="911">
        <f>SUM(H4:H22)</f>
        <v>90</v>
      </c>
      <c r="I23" s="910"/>
      <c r="J23" s="910"/>
      <c r="K23" s="912"/>
      <c r="L23" s="910"/>
      <c r="M23" s="910"/>
      <c r="N23" s="913"/>
      <c r="O23" s="914">
        <f>SUM(O4:O22)</f>
        <v>90</v>
      </c>
      <c r="P23" s="914">
        <f>SUM(P4:P22)</f>
        <v>90</v>
      </c>
      <c r="Q23" s="915">
        <f>SUM(Q4:Q22)</f>
        <v>0</v>
      </c>
      <c r="R23" s="916">
        <f>SUM(R4:R22)</f>
        <v>0</v>
      </c>
      <c r="S23" s="917">
        <f t="shared" si="4"/>
        <v>0</v>
      </c>
      <c r="T23" s="917">
        <f t="shared" si="5"/>
        <v>0</v>
      </c>
      <c r="U23" s="918">
        <f t="shared" si="6"/>
        <v>0</v>
      </c>
    </row>
    <row r="24" spans="1:21" s="2" customFormat="1" ht="14.25">
      <c r="C24" s="7"/>
      <c r="D24" s="919" t="s">
        <v>284</v>
      </c>
      <c r="E24" s="89"/>
      <c r="F24" s="551"/>
      <c r="G24" s="89"/>
      <c r="H24" s="817">
        <v>90</v>
      </c>
      <c r="I24" s="89"/>
      <c r="J24" s="89"/>
      <c r="K24" s="89"/>
      <c r="L24" s="89"/>
      <c r="M24" s="89"/>
      <c r="N24" s="89"/>
      <c r="O24" s="751">
        <f>O23</f>
        <v>90</v>
      </c>
      <c r="P24" s="751">
        <f>P23</f>
        <v>90</v>
      </c>
      <c r="Q24" s="745"/>
      <c r="R24" s="745"/>
      <c r="S24" s="560">
        <f t="shared" si="4"/>
        <v>0</v>
      </c>
      <c r="T24" s="560">
        <f t="shared" si="5"/>
        <v>0</v>
      </c>
      <c r="U24" s="920">
        <f t="shared" si="6"/>
        <v>0</v>
      </c>
    </row>
    <row r="25" spans="1:21" s="2" customFormat="1" ht="14.25">
      <c r="C25" s="7"/>
      <c r="D25" s="919" t="s">
        <v>551</v>
      </c>
      <c r="E25" s="89"/>
      <c r="F25" s="551"/>
      <c r="G25" s="89"/>
      <c r="H25" s="817">
        <v>10</v>
      </c>
      <c r="I25" s="89"/>
      <c r="J25" s="89"/>
      <c r="K25" s="89"/>
      <c r="L25" s="89"/>
      <c r="M25" s="89"/>
      <c r="N25" s="89"/>
      <c r="O25" s="751">
        <v>10</v>
      </c>
      <c r="P25" s="751">
        <v>10</v>
      </c>
      <c r="Q25" s="745"/>
      <c r="R25" s="745"/>
      <c r="S25" s="560">
        <f t="shared" si="4"/>
        <v>0</v>
      </c>
      <c r="T25" s="560">
        <f t="shared" si="5"/>
        <v>0</v>
      </c>
      <c r="U25" s="920">
        <f t="shared" si="6"/>
        <v>0</v>
      </c>
    </row>
    <row r="26" spans="1:21" s="2" customFormat="1" thickBot="1">
      <c r="C26" s="7"/>
      <c r="D26" s="921" t="s">
        <v>553</v>
      </c>
      <c r="E26" s="922"/>
      <c r="F26" s="923"/>
      <c r="G26" s="922"/>
      <c r="H26" s="924">
        <f>100-SUM(H24:H25)</f>
        <v>0</v>
      </c>
      <c r="I26" s="922"/>
      <c r="J26" s="922"/>
      <c r="K26" s="922"/>
      <c r="L26" s="922"/>
      <c r="M26" s="922"/>
      <c r="N26" s="922"/>
      <c r="O26" s="925">
        <f>100-SUM(O24:O25)</f>
        <v>0</v>
      </c>
      <c r="P26" s="925">
        <f>100-SUM(P24:P25)</f>
        <v>0</v>
      </c>
      <c r="Q26" s="926"/>
      <c r="R26" s="926"/>
      <c r="S26" s="927">
        <f t="shared" si="4"/>
        <v>0</v>
      </c>
      <c r="T26" s="927">
        <f t="shared" si="5"/>
        <v>0</v>
      </c>
      <c r="U26" s="928">
        <f t="shared" si="6"/>
        <v>0</v>
      </c>
    </row>
    <row r="27" spans="1:21" s="2" customFormat="1" ht="14.25">
      <c r="C27" s="7"/>
      <c r="F27" s="83"/>
      <c r="H27" s="83"/>
    </row>
    <row r="28" spans="1:21" s="2" customFormat="1" ht="14.25">
      <c r="C28" s="7"/>
      <c r="F28" s="83"/>
      <c r="H28" s="83"/>
    </row>
    <row r="29" spans="1:21" s="2" customFormat="1" ht="14.25">
      <c r="C29" s="7"/>
      <c r="F29" s="83"/>
      <c r="H29" s="83"/>
    </row>
    <row r="30" spans="1:21" s="2" customFormat="1" ht="14.25">
      <c r="C30" s="7"/>
      <c r="D30" s="860" t="s">
        <v>1960</v>
      </c>
      <c r="F30" s="83"/>
      <c r="H30" s="83"/>
    </row>
    <row r="31" spans="1:21" s="2" customFormat="1" ht="14.25">
      <c r="C31" s="7"/>
      <c r="D31" s="893" t="s">
        <v>2008</v>
      </c>
      <c r="F31" s="83"/>
      <c r="H31" s="83"/>
    </row>
    <row r="32" spans="1:21" s="2" customFormat="1" ht="14.25">
      <c r="C32" s="7"/>
      <c r="F32" s="83"/>
      <c r="H32" s="83"/>
    </row>
    <row r="33" spans="3:8" s="2" customFormat="1" ht="14.25">
      <c r="C33" s="7"/>
      <c r="F33" s="83"/>
      <c r="H33" s="83"/>
    </row>
    <row r="34" spans="3:8" s="2" customFormat="1" ht="14.25">
      <c r="C34" s="7"/>
      <c r="F34" s="83"/>
      <c r="H34" s="83"/>
    </row>
    <row r="35" spans="3:8" s="2" customFormat="1" ht="14.25">
      <c r="C35" s="7"/>
      <c r="F35" s="83"/>
      <c r="H35" s="83"/>
    </row>
    <row r="36" spans="3:8" s="2" customFormat="1" ht="14.25">
      <c r="C36" s="7"/>
      <c r="F36" s="83"/>
      <c r="H36" s="83"/>
    </row>
    <row r="37" spans="3:8" s="2" customFormat="1" ht="14.25">
      <c r="C37" s="7"/>
      <c r="F37" s="83"/>
      <c r="H37" s="83"/>
    </row>
    <row r="38" spans="3:8" s="2" customFormat="1" ht="14.25">
      <c r="C38" s="7"/>
      <c r="F38" s="83"/>
      <c r="H38" s="83"/>
    </row>
    <row r="39" spans="3:8" s="2" customFormat="1" ht="14.25">
      <c r="C39" s="7"/>
      <c r="F39" s="83"/>
      <c r="H39" s="83"/>
    </row>
    <row r="40" spans="3:8" s="2" customFormat="1" ht="14.25">
      <c r="C40" s="7"/>
      <c r="F40" s="83"/>
      <c r="H40" s="83"/>
    </row>
    <row r="41" spans="3:8" s="2" customFormat="1" ht="14.25">
      <c r="C41" s="7"/>
      <c r="F41" s="83"/>
      <c r="H41" s="83"/>
    </row>
    <row r="42" spans="3:8" s="2" customFormat="1" ht="14.25">
      <c r="C42" s="7"/>
      <c r="F42" s="83"/>
      <c r="H42" s="83"/>
    </row>
    <row r="43" spans="3:8" s="2" customFormat="1" ht="14.25">
      <c r="C43" s="7"/>
      <c r="F43" s="83"/>
      <c r="H43" s="83"/>
    </row>
    <row r="44" spans="3:8" s="2" customFormat="1" ht="14.25">
      <c r="C44" s="7"/>
      <c r="F44" s="83"/>
      <c r="H44" s="83"/>
    </row>
    <row r="45" spans="3:8" s="2" customFormat="1" ht="14.25">
      <c r="C45" s="7"/>
      <c r="F45" s="83"/>
      <c r="H45" s="83"/>
    </row>
    <row r="46" spans="3:8" s="2" customFormat="1" ht="14.25">
      <c r="C46" s="7"/>
      <c r="F46" s="83"/>
      <c r="H46" s="83"/>
    </row>
    <row r="47" spans="3:8" s="2" customFormat="1" ht="14.25">
      <c r="C47" s="7"/>
      <c r="F47" s="83"/>
      <c r="H47" s="83"/>
    </row>
    <row r="48" spans="3:8" s="2" customFormat="1" ht="14.25">
      <c r="C48" s="7"/>
      <c r="F48" s="83"/>
      <c r="H48" s="83"/>
    </row>
    <row r="49" spans="3:8" s="2" customFormat="1" ht="14.25">
      <c r="C49" s="7"/>
      <c r="F49" s="83"/>
      <c r="H49" s="83"/>
    </row>
    <row r="50" spans="3:8" s="2" customFormat="1" ht="14.25">
      <c r="C50" s="7"/>
      <c r="F50" s="83"/>
      <c r="H50" s="83"/>
    </row>
    <row r="51" spans="3:8" s="2" customFormat="1" ht="14.25">
      <c r="C51" s="7"/>
      <c r="F51" s="83"/>
      <c r="H51" s="83"/>
    </row>
    <row r="52" spans="3:8" s="2" customFormat="1" ht="14.25">
      <c r="C52" s="7"/>
      <c r="F52" s="83"/>
      <c r="H52" s="83"/>
    </row>
    <row r="53" spans="3:8" s="2" customFormat="1" ht="14.25">
      <c r="C53" s="7"/>
      <c r="F53" s="83"/>
      <c r="H53" s="83"/>
    </row>
    <row r="54" spans="3:8" s="2" customFormat="1" ht="14.25">
      <c r="C54" s="7"/>
      <c r="F54" s="83"/>
      <c r="H54" s="83"/>
    </row>
    <row r="55" spans="3:8" s="2" customFormat="1" ht="14.25">
      <c r="C55" s="7"/>
      <c r="F55" s="83"/>
      <c r="H55" s="83"/>
    </row>
    <row r="56" spans="3:8" s="2" customFormat="1" ht="14.25">
      <c r="C56" s="7"/>
      <c r="F56" s="83"/>
      <c r="H56" s="83"/>
    </row>
    <row r="57" spans="3:8" s="2" customFormat="1" ht="14.25">
      <c r="C57" s="7"/>
      <c r="F57" s="83"/>
      <c r="H57" s="83"/>
    </row>
    <row r="58" spans="3:8" s="2" customFormat="1" ht="14.25">
      <c r="C58" s="7"/>
      <c r="F58" s="83"/>
      <c r="H58" s="83"/>
    </row>
    <row r="59" spans="3:8" s="2" customFormat="1" ht="14.25">
      <c r="C59" s="7"/>
      <c r="F59" s="83"/>
      <c r="H59" s="83"/>
    </row>
    <row r="60" spans="3:8" s="2" customFormat="1" ht="14.25">
      <c r="C60" s="7"/>
      <c r="F60" s="83"/>
      <c r="H60" s="83"/>
    </row>
    <row r="61" spans="3:8" s="2" customFormat="1" ht="14.25">
      <c r="C61" s="7"/>
      <c r="F61" s="83"/>
      <c r="H61" s="83"/>
    </row>
    <row r="62" spans="3:8" s="2" customFormat="1" ht="14.25">
      <c r="C62" s="7"/>
      <c r="F62" s="83"/>
      <c r="H62" s="83"/>
    </row>
    <row r="63" spans="3:8" s="2" customFormat="1" ht="14.25">
      <c r="C63" s="7"/>
      <c r="F63" s="83"/>
      <c r="H63" s="83"/>
    </row>
    <row r="64" spans="3:8" s="2" customFormat="1" ht="14.25">
      <c r="C64" s="7"/>
      <c r="F64" s="83"/>
      <c r="H64" s="83"/>
    </row>
    <row r="65" spans="3:8" s="2" customFormat="1" ht="14.25">
      <c r="C65" s="7"/>
      <c r="F65" s="83"/>
      <c r="H65" s="83"/>
    </row>
    <row r="66" spans="3:8" s="2" customFormat="1" ht="14.25">
      <c r="C66" s="7"/>
      <c r="F66" s="83"/>
      <c r="H66" s="83"/>
    </row>
    <row r="67" spans="3:8" s="2" customFormat="1" ht="14.25">
      <c r="C67" s="7"/>
      <c r="F67" s="83"/>
      <c r="H67" s="83"/>
    </row>
    <row r="68" spans="3:8" s="2" customFormat="1" ht="14.25">
      <c r="C68" s="7"/>
      <c r="F68" s="83"/>
      <c r="H68" s="83"/>
    </row>
    <row r="69" spans="3:8" s="2" customFormat="1" ht="14.25">
      <c r="C69" s="7"/>
      <c r="F69" s="83"/>
      <c r="H69" s="83"/>
    </row>
    <row r="70" spans="3:8" s="2" customFormat="1" ht="14.25">
      <c r="C70" s="7"/>
      <c r="F70" s="83"/>
      <c r="H70" s="83"/>
    </row>
    <row r="71" spans="3:8" s="2" customFormat="1" ht="14.25">
      <c r="C71" s="7"/>
      <c r="F71" s="83"/>
      <c r="H71" s="83"/>
    </row>
    <row r="72" spans="3:8" s="2" customFormat="1" ht="14.25">
      <c r="C72" s="7"/>
      <c r="F72" s="83"/>
      <c r="H72" s="83"/>
    </row>
    <row r="73" spans="3:8" s="2" customFormat="1" ht="14.25">
      <c r="C73" s="7"/>
      <c r="F73" s="83"/>
      <c r="H73" s="83"/>
    </row>
    <row r="74" spans="3:8" s="2" customFormat="1" ht="14.25">
      <c r="C74" s="7"/>
      <c r="F74" s="83"/>
      <c r="H74" s="83"/>
    </row>
    <row r="75" spans="3:8" s="2" customFormat="1" ht="14.25">
      <c r="C75" s="7"/>
      <c r="F75" s="83"/>
      <c r="H75" s="83"/>
    </row>
    <row r="76" spans="3:8" s="2" customFormat="1" ht="14.25">
      <c r="C76" s="7"/>
      <c r="F76" s="83"/>
      <c r="H76" s="83"/>
    </row>
    <row r="77" spans="3:8" s="2" customFormat="1" ht="14.25">
      <c r="C77" s="7"/>
      <c r="F77" s="83"/>
      <c r="H77" s="83"/>
    </row>
    <row r="78" spans="3:8" s="2" customFormat="1" ht="14.25">
      <c r="C78" s="7"/>
      <c r="F78" s="83"/>
      <c r="H78" s="83"/>
    </row>
    <row r="79" spans="3:8" s="2" customFormat="1" ht="14.25">
      <c r="C79" s="7"/>
      <c r="F79" s="83"/>
      <c r="H79" s="83"/>
    </row>
    <row r="80" spans="3:8" s="2" customFormat="1" ht="14.25">
      <c r="C80" s="7"/>
      <c r="F80" s="83"/>
      <c r="H80" s="83"/>
    </row>
    <row r="81" spans="3:8" s="2" customFormat="1" ht="14.25">
      <c r="C81" s="7"/>
      <c r="F81" s="83"/>
      <c r="H81" s="83"/>
    </row>
    <row r="82" spans="3:8" s="2" customFormat="1" ht="14.25">
      <c r="C82" s="7"/>
      <c r="F82" s="83"/>
      <c r="H82" s="83"/>
    </row>
    <row r="83" spans="3:8" s="2" customFormat="1" ht="14.25">
      <c r="C83" s="7"/>
      <c r="F83" s="83"/>
      <c r="H83" s="83"/>
    </row>
    <row r="84" spans="3:8" s="2" customFormat="1" ht="14.25">
      <c r="C84" s="7"/>
      <c r="F84" s="83"/>
      <c r="H84" s="83"/>
    </row>
    <row r="85" spans="3:8" s="2" customFormat="1" ht="14.25">
      <c r="C85" s="7"/>
      <c r="F85" s="83"/>
      <c r="H85" s="83"/>
    </row>
    <row r="86" spans="3:8" s="2" customFormat="1" ht="14.25">
      <c r="C86" s="7"/>
      <c r="F86" s="83"/>
      <c r="H86" s="83"/>
    </row>
    <row r="87" spans="3:8" s="2" customFormat="1" ht="14.25">
      <c r="C87" s="7"/>
      <c r="F87" s="83"/>
      <c r="H87" s="83"/>
    </row>
    <row r="88" spans="3:8" s="2" customFormat="1" ht="14.25">
      <c r="C88" s="7"/>
      <c r="F88" s="83"/>
      <c r="H88" s="83"/>
    </row>
    <row r="89" spans="3:8" s="2" customFormat="1" ht="14.25">
      <c r="C89" s="7"/>
      <c r="F89" s="83"/>
      <c r="H89" s="83"/>
    </row>
    <row r="90" spans="3:8" s="2" customFormat="1" ht="14.25">
      <c r="C90" s="7"/>
      <c r="F90" s="83"/>
      <c r="H90" s="83"/>
    </row>
    <row r="91" spans="3:8" s="2" customFormat="1" ht="14.25">
      <c r="C91" s="7"/>
      <c r="F91" s="83"/>
      <c r="H91" s="83"/>
    </row>
    <row r="92" spans="3:8" s="2" customFormat="1" ht="14.25">
      <c r="C92" s="7"/>
      <c r="F92" s="83"/>
      <c r="H92" s="83"/>
    </row>
    <row r="93" spans="3:8" s="2" customFormat="1" ht="14.25">
      <c r="C93" s="7"/>
      <c r="F93" s="83"/>
      <c r="H93" s="83"/>
    </row>
    <row r="94" spans="3:8" s="2" customFormat="1" ht="14.25">
      <c r="C94" s="7"/>
      <c r="F94" s="83"/>
      <c r="H94" s="83"/>
    </row>
    <row r="95" spans="3:8" s="2" customFormat="1" ht="14.25">
      <c r="C95" s="7"/>
      <c r="F95" s="83"/>
      <c r="H95" s="83"/>
    </row>
    <row r="96" spans="3:8" s="2" customFormat="1" ht="14.25">
      <c r="C96" s="7"/>
      <c r="F96" s="83"/>
      <c r="H96" s="83"/>
    </row>
    <row r="97" spans="3:8" s="2" customFormat="1" ht="14.25">
      <c r="C97" s="7"/>
      <c r="F97" s="83"/>
      <c r="H97" s="83"/>
    </row>
    <row r="98" spans="3:8" s="2" customFormat="1" ht="14.25">
      <c r="C98" s="7"/>
      <c r="F98" s="83"/>
      <c r="H98" s="83"/>
    </row>
    <row r="99" spans="3:8" s="2" customFormat="1" ht="14.25">
      <c r="C99" s="7"/>
      <c r="F99" s="83"/>
      <c r="H99" s="83"/>
    </row>
    <row r="100" spans="3:8" s="2" customFormat="1" ht="14.25">
      <c r="C100" s="7"/>
      <c r="F100" s="83"/>
      <c r="H100" s="83"/>
    </row>
    <row r="101" spans="3:8" s="2" customFormat="1" ht="14.25">
      <c r="C101" s="7"/>
      <c r="F101" s="83"/>
      <c r="H101" s="83"/>
    </row>
    <row r="102" spans="3:8" s="2" customFormat="1" ht="14.25">
      <c r="C102" s="7"/>
      <c r="F102" s="83"/>
      <c r="H102" s="83"/>
    </row>
    <row r="103" spans="3:8" s="2" customFormat="1" ht="14.25">
      <c r="C103" s="7"/>
      <c r="F103" s="83"/>
      <c r="H103" s="83"/>
    </row>
    <row r="104" spans="3:8" s="2" customFormat="1" ht="14.25">
      <c r="C104" s="7"/>
      <c r="F104" s="83"/>
      <c r="H104" s="83"/>
    </row>
    <row r="105" spans="3:8" s="2" customFormat="1" ht="14.25">
      <c r="C105" s="7"/>
      <c r="F105" s="83"/>
      <c r="H105" s="83"/>
    </row>
    <row r="106" spans="3:8" s="2" customFormat="1" ht="14.25">
      <c r="C106" s="7"/>
      <c r="F106" s="83"/>
      <c r="H106" s="83"/>
    </row>
    <row r="107" spans="3:8" s="2" customFormat="1" ht="14.25">
      <c r="C107" s="7"/>
      <c r="F107" s="83"/>
      <c r="H107" s="83"/>
    </row>
    <row r="108" spans="3:8" s="2" customFormat="1" ht="14.25">
      <c r="C108" s="7"/>
      <c r="F108" s="83"/>
      <c r="H108" s="83"/>
    </row>
    <row r="109" spans="3:8" s="2" customFormat="1" ht="14.25">
      <c r="C109" s="7"/>
      <c r="F109" s="83"/>
      <c r="H109" s="83"/>
    </row>
    <row r="110" spans="3:8" s="2" customFormat="1" ht="14.25">
      <c r="C110" s="7"/>
      <c r="F110" s="83"/>
      <c r="H110" s="83"/>
    </row>
    <row r="111" spans="3:8" s="2" customFormat="1" ht="14.25">
      <c r="C111" s="7"/>
      <c r="F111" s="83"/>
      <c r="H111" s="83"/>
    </row>
    <row r="112" spans="3:8" s="2" customFormat="1" ht="14.25">
      <c r="C112" s="7"/>
      <c r="F112" s="83"/>
      <c r="H112" s="83"/>
    </row>
    <row r="113" spans="3:8" s="4" customFormat="1" ht="14.25">
      <c r="C113" s="9"/>
      <c r="F113" s="88"/>
      <c r="H113" s="88"/>
    </row>
    <row r="114" spans="3:8" s="4" customFormat="1" ht="14.25">
      <c r="C114" s="9"/>
      <c r="F114" s="88"/>
      <c r="H114" s="88"/>
    </row>
    <row r="115" spans="3:8" s="4" customFormat="1" ht="14.25">
      <c r="C115" s="9"/>
      <c r="F115" s="88"/>
      <c r="H115" s="88"/>
    </row>
    <row r="116" spans="3:8" s="4" customFormat="1" ht="14.25">
      <c r="C116" s="9"/>
      <c r="F116" s="88"/>
      <c r="H116" s="88"/>
    </row>
    <row r="117" spans="3:8" s="4" customFormat="1" ht="14.25">
      <c r="C117" s="9"/>
      <c r="F117" s="88"/>
      <c r="H117" s="88"/>
    </row>
    <row r="118" spans="3:8" s="4" customFormat="1" ht="14.25">
      <c r="C118" s="9"/>
      <c r="F118" s="88"/>
      <c r="H118" s="88"/>
    </row>
    <row r="119" spans="3:8" s="4" customFormat="1" ht="14.25">
      <c r="C119" s="9"/>
      <c r="F119" s="88"/>
      <c r="H119" s="88"/>
    </row>
    <row r="120" spans="3:8" s="4" customFormat="1" ht="14.25">
      <c r="C120" s="9"/>
      <c r="F120" s="88"/>
      <c r="H120" s="88"/>
    </row>
    <row r="121" spans="3:8" s="4" customFormat="1" ht="14.25">
      <c r="C121" s="9"/>
      <c r="F121" s="88"/>
      <c r="H121" s="88"/>
    </row>
    <row r="122" spans="3:8" s="4" customFormat="1" ht="14.25">
      <c r="C122" s="9"/>
      <c r="F122" s="88"/>
      <c r="H122" s="88"/>
    </row>
    <row r="123" spans="3:8" s="4" customFormat="1" ht="14.25">
      <c r="C123" s="9"/>
      <c r="F123" s="88"/>
      <c r="H123" s="88"/>
    </row>
    <row r="124" spans="3:8" s="4" customFormat="1" ht="14.25">
      <c r="C124" s="9"/>
      <c r="F124" s="88"/>
      <c r="H124" s="88"/>
    </row>
    <row r="125" spans="3:8" s="4" customFormat="1" ht="14.25">
      <c r="C125" s="9"/>
      <c r="F125" s="88"/>
      <c r="H125" s="88"/>
    </row>
    <row r="126" spans="3:8" s="4" customFormat="1" ht="14.25">
      <c r="C126" s="9"/>
      <c r="F126" s="88"/>
      <c r="H126" s="88"/>
    </row>
    <row r="127" spans="3:8" s="4" customFormat="1" ht="14.25">
      <c r="C127" s="9"/>
      <c r="F127" s="88"/>
      <c r="H127" s="88"/>
    </row>
    <row r="128" spans="3:8" s="4" customFormat="1" ht="14.25">
      <c r="C128" s="9"/>
      <c r="F128" s="88"/>
      <c r="H128" s="88"/>
    </row>
    <row r="129" spans="3:8" s="4" customFormat="1" ht="14.25">
      <c r="C129" s="9"/>
      <c r="F129" s="88"/>
      <c r="H129" s="88"/>
    </row>
    <row r="130" spans="3:8" s="4" customFormat="1" ht="14.25">
      <c r="C130" s="9"/>
      <c r="F130" s="88"/>
      <c r="H130" s="88"/>
    </row>
    <row r="131" spans="3:8" s="4" customFormat="1" ht="14.25">
      <c r="C131" s="9"/>
      <c r="F131" s="88"/>
      <c r="H131" s="88"/>
    </row>
    <row r="132" spans="3:8" s="4" customFormat="1" ht="14.25">
      <c r="C132" s="9"/>
      <c r="F132" s="88"/>
      <c r="H132" s="88"/>
    </row>
    <row r="133" spans="3:8" s="4" customFormat="1" ht="14.25">
      <c r="C133" s="9"/>
      <c r="F133" s="88"/>
      <c r="H133" s="88"/>
    </row>
    <row r="134" spans="3:8" s="4" customFormat="1" ht="14.25">
      <c r="C134" s="9"/>
      <c r="F134" s="88"/>
      <c r="H134" s="88"/>
    </row>
    <row r="135" spans="3:8" s="4" customFormat="1" ht="14.25">
      <c r="C135" s="9"/>
      <c r="F135" s="88"/>
      <c r="H135" s="88"/>
    </row>
    <row r="136" spans="3:8" s="4" customFormat="1" ht="14.25">
      <c r="C136" s="9"/>
      <c r="F136" s="88"/>
      <c r="H136" s="88"/>
    </row>
    <row r="137" spans="3:8" s="4" customFormat="1" ht="14.25">
      <c r="C137" s="9"/>
      <c r="F137" s="88"/>
      <c r="H137" s="88"/>
    </row>
    <row r="138" spans="3:8" s="4" customFormat="1" ht="14.25">
      <c r="C138" s="9"/>
      <c r="F138" s="88"/>
      <c r="H138" s="88"/>
    </row>
    <row r="139" spans="3:8" s="4" customFormat="1" ht="14.25">
      <c r="C139" s="9"/>
      <c r="F139" s="88"/>
      <c r="H139" s="88"/>
    </row>
    <row r="140" spans="3:8" s="4" customFormat="1" ht="14.25">
      <c r="C140" s="9"/>
      <c r="F140" s="88"/>
      <c r="H140" s="88"/>
    </row>
    <row r="141" spans="3:8" s="4" customFormat="1" ht="14.25">
      <c r="C141" s="9"/>
      <c r="F141" s="88"/>
      <c r="H141" s="88"/>
    </row>
    <row r="142" spans="3:8" s="4" customFormat="1" ht="14.25">
      <c r="C142" s="9"/>
      <c r="F142" s="88"/>
      <c r="H142" s="88"/>
    </row>
    <row r="143" spans="3:8" s="4" customFormat="1" ht="14.25">
      <c r="C143" s="9"/>
      <c r="F143" s="88"/>
      <c r="H143" s="88"/>
    </row>
    <row r="144" spans="3:8" s="4" customFormat="1" ht="14.25">
      <c r="C144" s="9"/>
      <c r="F144" s="88"/>
      <c r="H144" s="88"/>
    </row>
    <row r="145" spans="3:8" s="4" customFormat="1" ht="14.25">
      <c r="C145" s="9"/>
      <c r="F145" s="88"/>
      <c r="H145" s="88"/>
    </row>
    <row r="146" spans="3:8" s="4" customFormat="1" ht="14.25">
      <c r="C146" s="9"/>
      <c r="F146" s="88"/>
      <c r="H146" s="88"/>
    </row>
    <row r="147" spans="3:8" s="4" customFormat="1" ht="14.25">
      <c r="C147" s="9"/>
      <c r="F147" s="88"/>
      <c r="H147" s="88"/>
    </row>
    <row r="148" spans="3:8" s="4" customFormat="1" ht="14.25">
      <c r="C148" s="9"/>
      <c r="F148" s="88"/>
      <c r="H148" s="88"/>
    </row>
    <row r="149" spans="3:8" s="4" customFormat="1" ht="14.25">
      <c r="C149" s="9"/>
      <c r="F149" s="88"/>
      <c r="H149" s="88"/>
    </row>
    <row r="150" spans="3:8" s="4" customFormat="1" ht="14.25">
      <c r="C150" s="9"/>
      <c r="F150" s="88"/>
      <c r="H150" s="88"/>
    </row>
    <row r="151" spans="3:8" s="4" customFormat="1" ht="14.25">
      <c r="C151" s="9"/>
      <c r="F151" s="88"/>
      <c r="H151" s="88"/>
    </row>
    <row r="152" spans="3:8" s="4" customFormat="1" ht="14.25">
      <c r="C152" s="9"/>
      <c r="F152" s="88"/>
      <c r="H152" s="88"/>
    </row>
    <row r="153" spans="3:8" s="4" customFormat="1" ht="14.25">
      <c r="C153" s="9"/>
      <c r="F153" s="88"/>
      <c r="H153" s="88"/>
    </row>
    <row r="154" spans="3:8" s="4" customFormat="1" ht="14.25">
      <c r="C154" s="9"/>
      <c r="F154" s="88"/>
      <c r="H154" s="88"/>
    </row>
    <row r="155" spans="3:8" s="4" customFormat="1" ht="14.25">
      <c r="C155" s="9"/>
      <c r="F155" s="88"/>
      <c r="H155" s="88"/>
    </row>
    <row r="156" spans="3:8" s="4" customFormat="1" ht="14.25">
      <c r="C156" s="9"/>
      <c r="F156" s="88"/>
      <c r="H156" s="88"/>
    </row>
    <row r="157" spans="3:8" s="4" customFormat="1" ht="14.25">
      <c r="C157" s="9"/>
      <c r="F157" s="88"/>
      <c r="H157" s="88"/>
    </row>
    <row r="158" spans="3:8" s="4" customFormat="1" ht="14.25">
      <c r="C158" s="9"/>
      <c r="F158" s="88"/>
      <c r="H158" s="88"/>
    </row>
    <row r="159" spans="3:8" s="4" customFormat="1" ht="14.25">
      <c r="C159" s="9"/>
      <c r="F159" s="88"/>
      <c r="H159" s="88"/>
    </row>
    <row r="160" spans="3:8" s="4" customFormat="1" ht="14.25">
      <c r="C160" s="9"/>
      <c r="F160" s="88"/>
      <c r="H160" s="88"/>
    </row>
    <row r="161" spans="3:8" s="4" customFormat="1" ht="14.25">
      <c r="C161" s="9"/>
      <c r="F161" s="88"/>
      <c r="H161" s="88"/>
    </row>
    <row r="162" spans="3:8" s="4" customFormat="1" ht="14.25">
      <c r="C162" s="9"/>
      <c r="F162" s="88"/>
      <c r="H162" s="88"/>
    </row>
  </sheetData>
  <mergeCells count="8">
    <mergeCell ref="A20:A21"/>
    <mergeCell ref="B20:B21"/>
    <mergeCell ref="A10:A15"/>
    <mergeCell ref="B10:B15"/>
    <mergeCell ref="B5:B9"/>
    <mergeCell ref="A5:A9"/>
    <mergeCell ref="A17:A19"/>
    <mergeCell ref="B17:B19"/>
  </mergeCells>
  <phoneticPr fontId="3" type="noConversion"/>
  <conditionalFormatting sqref="N4:N22">
    <cfRule type="cellIs" dxfId="79" priority="32" stopIfTrue="1" operator="lessThanOrEqual">
      <formula>-0.3</formula>
    </cfRule>
    <cfRule type="cellIs" dxfId="78" priority="33" stopIfTrue="1" operator="greaterThanOrEqual">
      <formula>0.3</formula>
    </cfRule>
  </conditionalFormatting>
  <conditionalFormatting sqref="Q4:Q23">
    <cfRule type="expression" dxfId="77" priority="13">
      <formula>Q4&lt;0</formula>
    </cfRule>
  </conditionalFormatting>
  <conditionalFormatting sqref="Q4:Q23">
    <cfRule type="cellIs" dxfId="76" priority="11" stopIfTrue="1" operator="lessThan">
      <formula>0</formula>
    </cfRule>
    <cfRule type="cellIs" dxfId="75" priority="12" operator="greaterThan">
      <formula>0</formula>
    </cfRule>
  </conditionalFormatting>
  <dataValidations count="8">
    <dataValidation type="list" allowBlank="1" showInputMessage="1" showErrorMessage="1" sqref="I16 I4:J4">
      <formula1>$L$4:$M$4</formula1>
    </dataValidation>
    <dataValidation type="list" allowBlank="1" showInputMessage="1" showErrorMessage="1" sqref="I5:J5">
      <formula1>$L$5:$M$5</formula1>
    </dataValidation>
    <dataValidation type="list" allowBlank="1" showInputMessage="1" showErrorMessage="1" sqref="I6:J6">
      <formula1>$L$6:$M$6</formula1>
    </dataValidation>
    <dataValidation type="list" allowBlank="1" showInputMessage="1" showErrorMessage="1" sqref="I7:J7">
      <formula1>$L$7:$M$7</formula1>
    </dataValidation>
    <dataValidation type="list" allowBlank="1" showInputMessage="1" showErrorMessage="1" sqref="I8:J8">
      <formula1>$L$8:$M$8</formula1>
    </dataValidation>
    <dataValidation type="list" allowBlank="1" showInputMessage="1" showErrorMessage="1" sqref="I9:I10 J9">
      <formula1>$L$9:$M$9</formula1>
    </dataValidation>
    <dataValidation type="list" allowBlank="1" showInputMessage="1" showErrorMessage="1" sqref="J16">
      <formula1>$K$16:$L$16</formula1>
    </dataValidation>
    <dataValidation type="list" allowBlank="1" showInputMessage="1" showErrorMessage="1" sqref="J10">
      <formula1>$M$9:$M$9</formula1>
    </dataValidation>
  </dataValidations>
  <hyperlinks>
    <hyperlink ref="D30" location="权重!A1" display="权重!A1"/>
    <hyperlink ref="D31" location="目录!A1" display="目录!A1"/>
  </hyperlinks>
  <pageMargins left="0.70866141732283472" right="0.70866141732283472" top="0.74803149606299213" bottom="0.74803149606299213" header="0.31496062992125984" footer="0.31496062992125984"/>
  <pageSetup paperSize="9" orientation="landscape" r:id="rId1"/>
</worksheet>
</file>

<file path=xl/worksheets/sheet23.xml><?xml version="1.0" encoding="utf-8"?>
<worksheet xmlns="http://schemas.openxmlformats.org/spreadsheetml/2006/main" xmlns:r="http://schemas.openxmlformats.org/officeDocument/2006/relationships">
  <sheetPr codeName="Sheet6">
    <tabColor theme="6"/>
  </sheetPr>
  <dimension ref="A1:AD169"/>
  <sheetViews>
    <sheetView zoomScale="96" zoomScaleNormal="96" workbookViewId="0">
      <pane xSplit="8" ySplit="3" topLeftCell="I4" activePane="bottomRight" state="frozenSplit"/>
      <selection activeCell="A3" sqref="A3:B3"/>
      <selection pane="topRight" activeCell="A3" sqref="A3:B3"/>
      <selection pane="bottomLeft" activeCell="A3" sqref="A3:B3"/>
      <selection pane="bottomRight" activeCell="H32" sqref="H32"/>
    </sheetView>
  </sheetViews>
  <sheetFormatPr defaultColWidth="8.875" defaultRowHeight="16.5" outlineLevelCol="1"/>
  <cols>
    <col min="1" max="2" width="20.75" style="1" hidden="1" customWidth="1" outlineLevel="1"/>
    <col min="3" max="3" width="4.625" style="8" customWidth="1" collapsed="1"/>
    <col min="4" max="4" width="41.375" style="1" customWidth="1"/>
    <col min="5" max="5" width="12.5" style="2" customWidth="1"/>
    <col min="6" max="6" width="11.5" style="31" hidden="1" customWidth="1" outlineLevel="1"/>
    <col min="7" max="7" width="10.5" style="1" hidden="1" customWidth="1" outlineLevel="1"/>
    <col min="8" max="8" width="9" style="1" customWidth="1" collapsed="1"/>
    <col min="9" max="9" width="13.875" style="1" customWidth="1"/>
    <col min="10" max="10" width="9.625" style="27" customWidth="1" collapsed="1"/>
    <col min="11" max="12" width="9.25" style="27" customWidth="1"/>
    <col min="13" max="14" width="10.625" style="1" customWidth="1"/>
    <col min="15" max="15" width="11.75" style="19" customWidth="1"/>
    <col min="16" max="16" width="7.75" style="1" bestFit="1" customWidth="1"/>
    <col min="17" max="17" width="7.75" style="1" customWidth="1" outlineLevel="1"/>
    <col min="18" max="19" width="11.25" style="1" customWidth="1" outlineLevel="1"/>
    <col min="20" max="20" width="14.875" style="1" customWidth="1"/>
    <col min="21" max="21" width="72.125" style="1" bestFit="1" customWidth="1"/>
    <col min="22" max="22" width="5.375" style="1" bestFit="1" customWidth="1"/>
    <col min="23" max="23" width="7.75" style="1" customWidth="1"/>
    <col min="24" max="25" width="8.875" style="683" hidden="1" customWidth="1" outlineLevel="1"/>
    <col min="26" max="26" width="8.875" style="684" hidden="1" customWidth="1" outlineLevel="1"/>
    <col min="27" max="28" width="8.875" style="683" hidden="1" customWidth="1" outlineLevel="1"/>
    <col min="29" max="29" width="8.875" style="684" hidden="1" customWidth="1" outlineLevel="1"/>
    <col min="30" max="30" width="8.875" style="1" collapsed="1"/>
    <col min="31" max="16384" width="8.875" style="1"/>
  </cols>
  <sheetData>
    <row r="1" spans="1:29">
      <c r="A1" s="162"/>
      <c r="B1" s="162"/>
      <c r="C1" s="163" t="s">
        <v>232</v>
      </c>
      <c r="D1" s="161"/>
      <c r="F1" s="47"/>
      <c r="G1" s="726"/>
      <c r="I1" s="787"/>
      <c r="J1" s="47"/>
      <c r="K1" s="47"/>
      <c r="L1" s="47"/>
      <c r="M1" s="787"/>
      <c r="Y1" s="683" t="s">
        <v>1710</v>
      </c>
      <c r="AB1" s="683" t="s">
        <v>1655</v>
      </c>
    </row>
    <row r="2" spans="1:29">
      <c r="A2" s="779"/>
      <c r="B2" s="779"/>
      <c r="C2" s="86"/>
      <c r="D2" s="37"/>
      <c r="F2" s="86"/>
      <c r="I2" s="787"/>
      <c r="J2" s="47"/>
      <c r="K2" s="47"/>
      <c r="L2" s="47"/>
      <c r="M2" s="787"/>
      <c r="N2" s="308" t="s">
        <v>2009</v>
      </c>
      <c r="Y2" s="683" t="s">
        <v>1182</v>
      </c>
      <c r="AB2" s="683" t="s">
        <v>1182</v>
      </c>
    </row>
    <row r="3" spans="1:29" s="2" customFormat="1" ht="15">
      <c r="A3" s="67" t="s">
        <v>482</v>
      </c>
      <c r="B3" s="67" t="s">
        <v>483</v>
      </c>
      <c r="C3" s="773" t="s">
        <v>230</v>
      </c>
      <c r="D3" s="15" t="s">
        <v>229</v>
      </c>
      <c r="E3" s="15" t="s">
        <v>1803</v>
      </c>
      <c r="F3" s="15" t="s">
        <v>481</v>
      </c>
      <c r="G3" s="15" t="s">
        <v>745</v>
      </c>
      <c r="H3" s="15" t="s">
        <v>584</v>
      </c>
      <c r="I3" s="15" t="s">
        <v>1201</v>
      </c>
      <c r="J3" s="15" t="s">
        <v>1707</v>
      </c>
      <c r="K3" s="721" t="s">
        <v>1811</v>
      </c>
      <c r="L3" s="15" t="s">
        <v>1897</v>
      </c>
      <c r="M3" s="721" t="s">
        <v>1883</v>
      </c>
      <c r="N3" s="15" t="s">
        <v>1916</v>
      </c>
      <c r="O3" s="15" t="s">
        <v>1203</v>
      </c>
      <c r="P3" s="15" t="s">
        <v>554</v>
      </c>
      <c r="Q3" s="766" t="s">
        <v>1958</v>
      </c>
      <c r="R3" s="766" t="s">
        <v>1959</v>
      </c>
      <c r="S3" s="766" t="s">
        <v>1957</v>
      </c>
      <c r="X3" s="585"/>
      <c r="Y3" s="585" t="s">
        <v>1649</v>
      </c>
      <c r="Z3" s="583" t="s">
        <v>1648</v>
      </c>
      <c r="AA3" s="585"/>
      <c r="AB3" s="585" t="s">
        <v>1649</v>
      </c>
      <c r="AC3" s="583" t="s">
        <v>1648</v>
      </c>
    </row>
    <row r="4" spans="1:29" s="2" customFormat="1" ht="15.6" customHeight="1">
      <c r="A4" s="1677" t="s">
        <v>436</v>
      </c>
      <c r="B4" s="1677" t="s">
        <v>437</v>
      </c>
      <c r="C4" s="774">
        <v>1</v>
      </c>
      <c r="D4" s="20" t="s">
        <v>198</v>
      </c>
      <c r="E4" s="483"/>
      <c r="F4" s="97" t="s">
        <v>492</v>
      </c>
      <c r="G4" s="5" t="s">
        <v>286</v>
      </c>
      <c r="H4" s="200">
        <v>8</v>
      </c>
      <c r="I4" s="58"/>
      <c r="J4" s="68">
        <f>J5/J6</f>
        <v>0.75</v>
      </c>
      <c r="K4" s="68">
        <f>K5/K6</f>
        <v>0.75</v>
      </c>
      <c r="L4" s="290">
        <f t="shared" ref="L4:L18" si="0">IF(AND(J4=0,K4&lt;&gt;0),1,IF(AND(J4=0,K4=0),0,K4/J4-1))</f>
        <v>0</v>
      </c>
      <c r="M4" s="5" t="s">
        <v>286</v>
      </c>
      <c r="N4" s="5" t="s">
        <v>286</v>
      </c>
      <c r="O4" s="804" t="str">
        <f>"行业水平评分"</f>
        <v>行业水平评分</v>
      </c>
      <c r="P4" s="812">
        <f>H4</f>
        <v>8</v>
      </c>
      <c r="Q4" s="552">
        <f>P4*100%</f>
        <v>8</v>
      </c>
      <c r="R4" s="552">
        <f>Q4/9*2</f>
        <v>1.7777777777777777</v>
      </c>
      <c r="S4" s="552">
        <f>R4/2</f>
        <v>0.88888888888888884</v>
      </c>
      <c r="T4" s="78" t="b">
        <f t="shared" ref="T4:T18" si="1">J4=K4</f>
        <v>1</v>
      </c>
      <c r="U4" s="2" t="s">
        <v>198</v>
      </c>
      <c r="V4" s="2" t="b">
        <f t="shared" ref="V4:V18" si="2">U4=D4</f>
        <v>1</v>
      </c>
      <c r="W4" s="135"/>
      <c r="X4" s="585"/>
      <c r="Y4" s="583">
        <v>0.5</v>
      </c>
      <c r="Z4" s="583">
        <f>K4*H4</f>
        <v>6</v>
      </c>
      <c r="AA4" s="585"/>
      <c r="AB4" s="583">
        <v>0.5</v>
      </c>
      <c r="AC4" s="583">
        <f>J4*H4</f>
        <v>6</v>
      </c>
    </row>
    <row r="5" spans="1:29" s="2" customFormat="1" ht="15.6" customHeight="1">
      <c r="A5" s="1677"/>
      <c r="B5" s="1677"/>
      <c r="C5" s="775">
        <v>1.1000000000000001</v>
      </c>
      <c r="D5" s="281" t="s">
        <v>199</v>
      </c>
      <c r="E5" s="483" t="s">
        <v>261</v>
      </c>
      <c r="F5" s="100"/>
      <c r="G5" s="5"/>
      <c r="H5" s="54"/>
      <c r="I5" s="58" t="s">
        <v>265</v>
      </c>
      <c r="J5" s="444">
        <v>3</v>
      </c>
      <c r="K5" s="57">
        <v>3</v>
      </c>
      <c r="L5" s="290">
        <f t="shared" si="0"/>
        <v>0</v>
      </c>
      <c r="M5" s="238"/>
      <c r="N5" s="58"/>
      <c r="O5" s="512">
        <f t="shared" ref="O5:O6" si="3">M5-N5</f>
        <v>0</v>
      </c>
      <c r="P5" s="812">
        <f>H5-N5</f>
        <v>0</v>
      </c>
      <c r="Q5" s="552">
        <f t="shared" ref="Q5:Q21" si="4">P5*100%</f>
        <v>0</v>
      </c>
      <c r="R5" s="552">
        <f t="shared" ref="R5:R21" si="5">Q5/9*2</f>
        <v>0</v>
      </c>
      <c r="S5" s="552">
        <f t="shared" ref="S5:S21" si="6">R5/2</f>
        <v>0</v>
      </c>
      <c r="T5" s="78" t="b">
        <f t="shared" si="1"/>
        <v>1</v>
      </c>
      <c r="U5" s="2" t="s">
        <v>199</v>
      </c>
      <c r="V5" s="2" t="b">
        <f t="shared" si="2"/>
        <v>1</v>
      </c>
      <c r="W5" s="135"/>
      <c r="X5" s="585"/>
      <c r="Y5" s="583"/>
      <c r="Z5" s="583"/>
      <c r="AA5" s="585"/>
      <c r="AB5" s="583"/>
      <c r="AC5" s="583"/>
    </row>
    <row r="6" spans="1:29" s="2" customFormat="1" ht="15.6" customHeight="1">
      <c r="A6" s="1677"/>
      <c r="B6" s="1677"/>
      <c r="C6" s="775">
        <v>1.2</v>
      </c>
      <c r="D6" s="17" t="s">
        <v>200</v>
      </c>
      <c r="E6" s="483" t="s">
        <v>261</v>
      </c>
      <c r="F6" s="99"/>
      <c r="G6" s="5"/>
      <c r="H6" s="54"/>
      <c r="I6" s="58" t="s">
        <v>265</v>
      </c>
      <c r="J6" s="444">
        <v>4</v>
      </c>
      <c r="K6" s="57">
        <v>4</v>
      </c>
      <c r="L6" s="290">
        <f t="shared" si="0"/>
        <v>0</v>
      </c>
      <c r="M6" s="238"/>
      <c r="N6" s="58"/>
      <c r="O6" s="512">
        <f t="shared" si="3"/>
        <v>0</v>
      </c>
      <c r="P6" s="812">
        <f>H6-N6</f>
        <v>0</v>
      </c>
      <c r="Q6" s="552">
        <f t="shared" si="4"/>
        <v>0</v>
      </c>
      <c r="R6" s="552">
        <f t="shared" si="5"/>
        <v>0</v>
      </c>
      <c r="S6" s="552">
        <f t="shared" si="6"/>
        <v>0</v>
      </c>
      <c r="T6" s="78" t="b">
        <f t="shared" si="1"/>
        <v>1</v>
      </c>
      <c r="U6" s="2" t="s">
        <v>200</v>
      </c>
      <c r="V6" s="2" t="b">
        <f t="shared" si="2"/>
        <v>1</v>
      </c>
      <c r="W6" s="135"/>
      <c r="X6" s="585"/>
      <c r="Y6" s="583"/>
      <c r="Z6" s="583"/>
      <c r="AA6" s="585"/>
      <c r="AB6" s="583"/>
      <c r="AC6" s="583"/>
    </row>
    <row r="7" spans="1:29" s="2" customFormat="1" ht="15.6" customHeight="1">
      <c r="A7" s="764" t="s">
        <v>438</v>
      </c>
      <c r="B7" s="764" t="s">
        <v>439</v>
      </c>
      <c r="C7" s="774">
        <v>2</v>
      </c>
      <c r="D7" s="20" t="s">
        <v>201</v>
      </c>
      <c r="E7" s="483" t="s">
        <v>261</v>
      </c>
      <c r="F7" s="97" t="s">
        <v>492</v>
      </c>
      <c r="G7" s="5" t="s">
        <v>286</v>
      </c>
      <c r="H7" s="200">
        <v>9</v>
      </c>
      <c r="I7" s="58" t="s">
        <v>265</v>
      </c>
      <c r="J7" s="437">
        <v>6.36</v>
      </c>
      <c r="K7" s="437">
        <v>6.61</v>
      </c>
      <c r="L7" s="290">
        <f t="shared" si="0"/>
        <v>3.9308176100628867E-2</v>
      </c>
      <c r="M7" s="638" t="s">
        <v>282</v>
      </c>
      <c r="N7" s="638" t="s">
        <v>282</v>
      </c>
      <c r="O7" s="804" t="str">
        <f>"行业水平评分"</f>
        <v>行业水平评分</v>
      </c>
      <c r="P7" s="812">
        <f>H7</f>
        <v>9</v>
      </c>
      <c r="Q7" s="552">
        <f t="shared" si="4"/>
        <v>9</v>
      </c>
      <c r="R7" s="552">
        <f t="shared" si="5"/>
        <v>2</v>
      </c>
      <c r="S7" s="552">
        <f t="shared" si="6"/>
        <v>1</v>
      </c>
      <c r="T7" s="78" t="b">
        <f t="shared" si="1"/>
        <v>0</v>
      </c>
      <c r="U7" s="2" t="s">
        <v>201</v>
      </c>
      <c r="V7" s="2" t="b">
        <f t="shared" si="2"/>
        <v>1</v>
      </c>
      <c r="W7" s="135"/>
      <c r="X7" s="585"/>
      <c r="Y7" s="583">
        <v>0</v>
      </c>
      <c r="Z7" s="583">
        <v>0</v>
      </c>
      <c r="AA7" s="585"/>
      <c r="AB7" s="583">
        <v>0</v>
      </c>
      <c r="AC7" s="583">
        <v>0</v>
      </c>
    </row>
    <row r="8" spans="1:29" s="2" customFormat="1" ht="15.6" customHeight="1">
      <c r="A8" s="763" t="s">
        <v>440</v>
      </c>
      <c r="B8" s="763" t="s">
        <v>441</v>
      </c>
      <c r="C8" s="774">
        <v>3</v>
      </c>
      <c r="D8" s="990" t="s">
        <v>2102</v>
      </c>
      <c r="E8" s="483" t="s">
        <v>261</v>
      </c>
      <c r="F8" s="106" t="s">
        <v>493</v>
      </c>
      <c r="G8" s="5" t="s">
        <v>287</v>
      </c>
      <c r="H8" s="200">
        <v>9</v>
      </c>
      <c r="I8" s="5" t="s">
        <v>741</v>
      </c>
      <c r="J8" s="794">
        <v>1</v>
      </c>
      <c r="K8" s="57">
        <v>1</v>
      </c>
      <c r="L8" s="290">
        <f t="shared" si="0"/>
        <v>0</v>
      </c>
      <c r="M8" s="125">
        <f>IF(K8=0,9,IF(K8=1,5,IF(K8=2,1,0)))</f>
        <v>5</v>
      </c>
      <c r="N8" s="125">
        <f>IF(J8=0,9,IF(J8=1,5,IF(J8=2,1,0)))</f>
        <v>5</v>
      </c>
      <c r="O8" s="512">
        <f>M8-N8</f>
        <v>0</v>
      </c>
      <c r="P8" s="812">
        <f>H8-M8</f>
        <v>4</v>
      </c>
      <c r="Q8" s="552">
        <f t="shared" si="4"/>
        <v>4</v>
      </c>
      <c r="R8" s="552">
        <f t="shared" si="5"/>
        <v>0.88888888888888884</v>
      </c>
      <c r="S8" s="552">
        <f t="shared" si="6"/>
        <v>0.44444444444444442</v>
      </c>
      <c r="T8" s="78" t="b">
        <f t="shared" si="1"/>
        <v>1</v>
      </c>
      <c r="U8" s="2" t="s">
        <v>202</v>
      </c>
      <c r="V8" s="2" t="b">
        <f t="shared" si="2"/>
        <v>1</v>
      </c>
      <c r="W8" s="135"/>
      <c r="X8" s="585"/>
      <c r="Y8" s="583">
        <v>0</v>
      </c>
      <c r="Z8" s="583">
        <v>0</v>
      </c>
      <c r="AA8" s="585"/>
      <c r="AB8" s="583">
        <v>0</v>
      </c>
      <c r="AC8" s="583">
        <v>0</v>
      </c>
    </row>
    <row r="9" spans="1:29" s="2" customFormat="1" ht="15.6" customHeight="1">
      <c r="A9" s="1677" t="s">
        <v>442</v>
      </c>
      <c r="B9" s="1677" t="s">
        <v>443</v>
      </c>
      <c r="C9" s="774">
        <v>4</v>
      </c>
      <c r="D9" s="20" t="s">
        <v>248</v>
      </c>
      <c r="E9" s="483"/>
      <c r="F9" s="97" t="s">
        <v>492</v>
      </c>
      <c r="G9" s="5" t="s">
        <v>286</v>
      </c>
      <c r="H9" s="200">
        <v>9</v>
      </c>
      <c r="I9" s="5"/>
      <c r="J9" s="167">
        <f>J10/J11</f>
        <v>0.63636363636363635</v>
      </c>
      <c r="K9" s="167">
        <f>K10/K11</f>
        <v>0.63636363636363635</v>
      </c>
      <c r="L9" s="290">
        <f t="shared" si="0"/>
        <v>0</v>
      </c>
      <c r="M9" s="638" t="s">
        <v>282</v>
      </c>
      <c r="N9" s="638" t="s">
        <v>282</v>
      </c>
      <c r="O9" s="804" t="str">
        <f>"行业水平评分"</f>
        <v>行业水平评分</v>
      </c>
      <c r="P9" s="812">
        <f>H9</f>
        <v>9</v>
      </c>
      <c r="Q9" s="552">
        <f t="shared" si="4"/>
        <v>9</v>
      </c>
      <c r="R9" s="552">
        <f t="shared" si="5"/>
        <v>2</v>
      </c>
      <c r="S9" s="552">
        <f t="shared" si="6"/>
        <v>1</v>
      </c>
      <c r="T9" s="78" t="b">
        <f t="shared" si="1"/>
        <v>1</v>
      </c>
      <c r="U9" s="2" t="s">
        <v>572</v>
      </c>
      <c r="V9" s="2" t="b">
        <f t="shared" si="2"/>
        <v>1</v>
      </c>
      <c r="W9" s="135"/>
      <c r="X9" s="585"/>
      <c r="Y9" s="583">
        <v>0.5</v>
      </c>
      <c r="Z9" s="583">
        <f>H9*K9</f>
        <v>5.7272727272727275</v>
      </c>
      <c r="AA9" s="585"/>
      <c r="AB9" s="583">
        <v>0.5</v>
      </c>
      <c r="AC9" s="583">
        <f>H9*J9</f>
        <v>5.7272727272727275</v>
      </c>
    </row>
    <row r="10" spans="1:29" s="2" customFormat="1" ht="15.6" customHeight="1">
      <c r="A10" s="1677"/>
      <c r="B10" s="1677"/>
      <c r="C10" s="775">
        <v>4.0999999999999996</v>
      </c>
      <c r="D10" s="281" t="s">
        <v>203</v>
      </c>
      <c r="E10" s="483" t="s">
        <v>261</v>
      </c>
      <c r="F10" s="100"/>
      <c r="G10" s="5"/>
      <c r="H10" s="54"/>
      <c r="I10" s="5" t="s">
        <v>265</v>
      </c>
      <c r="J10" s="794">
        <v>7</v>
      </c>
      <c r="K10" s="57">
        <v>7</v>
      </c>
      <c r="L10" s="290">
        <f t="shared" si="0"/>
        <v>0</v>
      </c>
      <c r="M10" s="238"/>
      <c r="N10" s="58"/>
      <c r="O10" s="512">
        <f t="shared" ref="O10:O18" si="7">M10-N10</f>
        <v>0</v>
      </c>
      <c r="P10" s="812">
        <f>H10-N10</f>
        <v>0</v>
      </c>
      <c r="Q10" s="552">
        <f t="shared" si="4"/>
        <v>0</v>
      </c>
      <c r="R10" s="552">
        <f t="shared" si="5"/>
        <v>0</v>
      </c>
      <c r="S10" s="552">
        <f t="shared" si="6"/>
        <v>0</v>
      </c>
      <c r="T10" s="78" t="b">
        <f t="shared" si="1"/>
        <v>1</v>
      </c>
      <c r="U10" s="2" t="s">
        <v>203</v>
      </c>
      <c r="V10" s="2" t="b">
        <f t="shared" si="2"/>
        <v>1</v>
      </c>
      <c r="W10" s="135"/>
      <c r="X10" s="585"/>
      <c r="Y10" s="583"/>
      <c r="Z10" s="583"/>
      <c r="AA10" s="585"/>
      <c r="AB10" s="583"/>
      <c r="AC10" s="583"/>
    </row>
    <row r="11" spans="1:29" s="2" customFormat="1" ht="15.6" customHeight="1">
      <c r="A11" s="1677"/>
      <c r="B11" s="1677"/>
      <c r="C11" s="775">
        <v>4.2</v>
      </c>
      <c r="D11" s="17" t="s">
        <v>204</v>
      </c>
      <c r="E11" s="483" t="s">
        <v>261</v>
      </c>
      <c r="F11" s="99"/>
      <c r="G11" s="5"/>
      <c r="H11" s="54"/>
      <c r="I11" s="5" t="s">
        <v>265</v>
      </c>
      <c r="J11" s="794">
        <v>11</v>
      </c>
      <c r="K11" s="57">
        <v>11</v>
      </c>
      <c r="L11" s="290">
        <f t="shared" si="0"/>
        <v>0</v>
      </c>
      <c r="M11" s="238"/>
      <c r="N11" s="58"/>
      <c r="O11" s="512">
        <f t="shared" si="7"/>
        <v>0</v>
      </c>
      <c r="P11" s="812">
        <f>H11-N11</f>
        <v>0</v>
      </c>
      <c r="Q11" s="552">
        <f t="shared" si="4"/>
        <v>0</v>
      </c>
      <c r="R11" s="552">
        <f t="shared" si="5"/>
        <v>0</v>
      </c>
      <c r="S11" s="552">
        <f t="shared" si="6"/>
        <v>0</v>
      </c>
      <c r="T11" s="78" t="b">
        <f t="shared" si="1"/>
        <v>1</v>
      </c>
      <c r="U11" s="2" t="s">
        <v>204</v>
      </c>
      <c r="V11" s="2" t="b">
        <f t="shared" si="2"/>
        <v>1</v>
      </c>
      <c r="W11" s="135"/>
      <c r="X11" s="585"/>
      <c r="Y11" s="583"/>
      <c r="Z11" s="583"/>
      <c r="AA11" s="585"/>
      <c r="AB11" s="583"/>
      <c r="AC11" s="583"/>
    </row>
    <row r="12" spans="1:29" s="2" customFormat="1" ht="15.6" customHeight="1">
      <c r="A12" s="764" t="s">
        <v>444</v>
      </c>
      <c r="B12" s="764" t="s">
        <v>445</v>
      </c>
      <c r="C12" s="774">
        <v>5</v>
      </c>
      <c r="D12" s="20" t="s">
        <v>205</v>
      </c>
      <c r="E12" s="483" t="s">
        <v>261</v>
      </c>
      <c r="F12" s="98" t="s">
        <v>494</v>
      </c>
      <c r="G12" s="5" t="s">
        <v>285</v>
      </c>
      <c r="H12" s="200">
        <v>8</v>
      </c>
      <c r="I12" s="5" t="s">
        <v>266</v>
      </c>
      <c r="J12" s="794">
        <v>0</v>
      </c>
      <c r="K12" s="57">
        <v>0</v>
      </c>
      <c r="L12" s="290">
        <f t="shared" si="0"/>
        <v>0</v>
      </c>
      <c r="M12" s="467">
        <f>MAX(H12-K12*2,0)</f>
        <v>8</v>
      </c>
      <c r="N12" s="467">
        <f>MAX(M12-J12*2,0)</f>
        <v>8</v>
      </c>
      <c r="O12" s="512">
        <f t="shared" si="7"/>
        <v>0</v>
      </c>
      <c r="P12" s="812">
        <f>H12-N12</f>
        <v>0</v>
      </c>
      <c r="Q12" s="552">
        <f t="shared" si="4"/>
        <v>0</v>
      </c>
      <c r="R12" s="552">
        <f t="shared" si="5"/>
        <v>0</v>
      </c>
      <c r="S12" s="552">
        <f t="shared" si="6"/>
        <v>0</v>
      </c>
      <c r="T12" s="78" t="b">
        <f t="shared" si="1"/>
        <v>1</v>
      </c>
      <c r="U12" s="2" t="s">
        <v>205</v>
      </c>
      <c r="V12" s="2" t="b">
        <f t="shared" si="2"/>
        <v>1</v>
      </c>
      <c r="W12" s="135"/>
      <c r="X12" s="585"/>
      <c r="Y12" s="583">
        <v>1</v>
      </c>
      <c r="Z12" s="583">
        <f>M12</f>
        <v>8</v>
      </c>
      <c r="AA12" s="585"/>
      <c r="AB12" s="583">
        <v>1</v>
      </c>
      <c r="AC12" s="583">
        <f>N12</f>
        <v>8</v>
      </c>
    </row>
    <row r="13" spans="1:29" s="2" customFormat="1" ht="15.6" customHeight="1">
      <c r="A13" s="764" t="s">
        <v>446</v>
      </c>
      <c r="B13" s="764" t="s">
        <v>525</v>
      </c>
      <c r="C13" s="774">
        <v>6</v>
      </c>
      <c r="D13" s="20" t="s">
        <v>2103</v>
      </c>
      <c r="E13" s="483" t="s">
        <v>261</v>
      </c>
      <c r="F13" s="98" t="s">
        <v>494</v>
      </c>
      <c r="G13" s="5" t="s">
        <v>285</v>
      </c>
      <c r="H13" s="200">
        <v>8</v>
      </c>
      <c r="I13" s="5" t="s">
        <v>266</v>
      </c>
      <c r="J13" s="794">
        <v>1</v>
      </c>
      <c r="K13" s="57">
        <v>0</v>
      </c>
      <c r="L13" s="290">
        <f t="shared" si="0"/>
        <v>-1</v>
      </c>
      <c r="M13" s="125">
        <f>8-K13*2</f>
        <v>8</v>
      </c>
      <c r="N13" s="125">
        <f>8-J13*2</f>
        <v>6</v>
      </c>
      <c r="O13" s="512">
        <f t="shared" si="7"/>
        <v>2</v>
      </c>
      <c r="P13" s="812">
        <f>H13-M13</f>
        <v>0</v>
      </c>
      <c r="Q13" s="552">
        <f t="shared" si="4"/>
        <v>0</v>
      </c>
      <c r="R13" s="552">
        <f t="shared" si="5"/>
        <v>0</v>
      </c>
      <c r="S13" s="552">
        <f t="shared" si="6"/>
        <v>0</v>
      </c>
      <c r="T13" s="78" t="b">
        <f t="shared" si="1"/>
        <v>0</v>
      </c>
      <c r="U13" s="139" t="s">
        <v>573</v>
      </c>
      <c r="V13" s="2" t="b">
        <f t="shared" si="2"/>
        <v>1</v>
      </c>
      <c r="W13" s="135"/>
      <c r="X13" s="585"/>
      <c r="Y13" s="583">
        <v>1</v>
      </c>
      <c r="Z13" s="583">
        <f t="shared" ref="Z13:Z18" si="8">M13</f>
        <v>8</v>
      </c>
      <c r="AA13" s="585"/>
      <c r="AB13" s="583">
        <v>1</v>
      </c>
      <c r="AC13" s="583">
        <f t="shared" ref="AC13:AC18" si="9">N13</f>
        <v>6</v>
      </c>
    </row>
    <row r="14" spans="1:29" s="2" customFormat="1" ht="15.6" customHeight="1">
      <c r="A14" s="764" t="s">
        <v>447</v>
      </c>
      <c r="B14" s="764" t="s">
        <v>526</v>
      </c>
      <c r="C14" s="774">
        <v>7</v>
      </c>
      <c r="D14" s="20" t="s">
        <v>574</v>
      </c>
      <c r="E14" s="483" t="s">
        <v>261</v>
      </c>
      <c r="F14" s="98" t="s">
        <v>494</v>
      </c>
      <c r="G14" s="5" t="s">
        <v>285</v>
      </c>
      <c r="H14" s="200">
        <v>10</v>
      </c>
      <c r="I14" s="5" t="s">
        <v>267</v>
      </c>
      <c r="J14" s="794">
        <v>0</v>
      </c>
      <c r="K14" s="57">
        <v>0</v>
      </c>
      <c r="L14" s="290">
        <f t="shared" si="0"/>
        <v>0</v>
      </c>
      <c r="M14" s="242">
        <f>MAX(H14-K14*3,0)</f>
        <v>10</v>
      </c>
      <c r="N14" s="467">
        <f>MAX(M14-J14*3,0)</f>
        <v>10</v>
      </c>
      <c r="O14" s="512">
        <f t="shared" si="7"/>
        <v>0</v>
      </c>
      <c r="P14" s="812">
        <f>H14-N14</f>
        <v>0</v>
      </c>
      <c r="Q14" s="552">
        <f t="shared" si="4"/>
        <v>0</v>
      </c>
      <c r="R14" s="552">
        <f t="shared" si="5"/>
        <v>0</v>
      </c>
      <c r="S14" s="552">
        <f t="shared" si="6"/>
        <v>0</v>
      </c>
      <c r="T14" s="78" t="b">
        <f t="shared" si="1"/>
        <v>1</v>
      </c>
      <c r="U14" s="139" t="s">
        <v>574</v>
      </c>
      <c r="V14" s="2" t="b">
        <f t="shared" si="2"/>
        <v>1</v>
      </c>
      <c r="W14" s="135"/>
      <c r="X14" s="585"/>
      <c r="Y14" s="583">
        <v>1</v>
      </c>
      <c r="Z14" s="583">
        <f t="shared" si="8"/>
        <v>10</v>
      </c>
      <c r="AA14" s="585"/>
      <c r="AB14" s="583">
        <v>1</v>
      </c>
      <c r="AC14" s="583">
        <f t="shared" si="9"/>
        <v>10</v>
      </c>
    </row>
    <row r="15" spans="1:29" s="2" customFormat="1" ht="15.6" customHeight="1">
      <c r="A15" s="764" t="s">
        <v>448</v>
      </c>
      <c r="B15" s="764" t="s">
        <v>526</v>
      </c>
      <c r="C15" s="774">
        <v>8</v>
      </c>
      <c r="D15" s="20" t="s">
        <v>575</v>
      </c>
      <c r="E15" s="483" t="s">
        <v>261</v>
      </c>
      <c r="F15" s="98" t="s">
        <v>494</v>
      </c>
      <c r="G15" s="5" t="s">
        <v>285</v>
      </c>
      <c r="H15" s="200">
        <v>10</v>
      </c>
      <c r="I15" s="5" t="s">
        <v>268</v>
      </c>
      <c r="J15" s="794">
        <v>0</v>
      </c>
      <c r="K15" s="57">
        <v>0</v>
      </c>
      <c r="L15" s="290">
        <f t="shared" si="0"/>
        <v>0</v>
      </c>
      <c r="M15" s="467">
        <f>MAX(H15-K15*3,0)</f>
        <v>10</v>
      </c>
      <c r="N15" s="467">
        <f>MAX(M15-J15*3,0)</f>
        <v>10</v>
      </c>
      <c r="O15" s="512">
        <f t="shared" si="7"/>
        <v>0</v>
      </c>
      <c r="P15" s="812">
        <f>H15-N15</f>
        <v>0</v>
      </c>
      <c r="Q15" s="552">
        <f t="shared" si="4"/>
        <v>0</v>
      </c>
      <c r="R15" s="552">
        <f t="shared" si="5"/>
        <v>0</v>
      </c>
      <c r="S15" s="552">
        <f t="shared" si="6"/>
        <v>0</v>
      </c>
      <c r="T15" s="78" t="b">
        <f t="shared" si="1"/>
        <v>1</v>
      </c>
      <c r="U15" s="139" t="s">
        <v>575</v>
      </c>
      <c r="V15" s="2" t="b">
        <f t="shared" si="2"/>
        <v>1</v>
      </c>
      <c r="W15" s="135"/>
      <c r="X15" s="585"/>
      <c r="Y15" s="583">
        <v>1</v>
      </c>
      <c r="Z15" s="583">
        <f t="shared" si="8"/>
        <v>10</v>
      </c>
      <c r="AA15" s="585"/>
      <c r="AB15" s="583">
        <v>1</v>
      </c>
      <c r="AC15" s="583">
        <f t="shared" si="9"/>
        <v>10</v>
      </c>
    </row>
    <row r="16" spans="1:29" s="2" customFormat="1" ht="15.6" customHeight="1">
      <c r="A16" s="764" t="s">
        <v>449</v>
      </c>
      <c r="B16" s="764" t="s">
        <v>526</v>
      </c>
      <c r="C16" s="774">
        <v>9</v>
      </c>
      <c r="D16" s="20" t="s">
        <v>576</v>
      </c>
      <c r="E16" s="483" t="s">
        <v>261</v>
      </c>
      <c r="F16" s="98" t="s">
        <v>494</v>
      </c>
      <c r="G16" s="5" t="s">
        <v>285</v>
      </c>
      <c r="H16" s="200">
        <v>9</v>
      </c>
      <c r="I16" s="5" t="s">
        <v>269</v>
      </c>
      <c r="J16" s="794">
        <v>0</v>
      </c>
      <c r="K16" s="57">
        <v>0</v>
      </c>
      <c r="L16" s="290">
        <f t="shared" si="0"/>
        <v>0</v>
      </c>
      <c r="M16" s="467">
        <f>MAX(H16-K16*3,0)</f>
        <v>9</v>
      </c>
      <c r="N16" s="467">
        <f>MAX(M16-J16*3,0)</f>
        <v>9</v>
      </c>
      <c r="O16" s="512">
        <f t="shared" si="7"/>
        <v>0</v>
      </c>
      <c r="P16" s="812">
        <f>H16-N16</f>
        <v>0</v>
      </c>
      <c r="Q16" s="552">
        <f t="shared" si="4"/>
        <v>0</v>
      </c>
      <c r="R16" s="552">
        <f t="shared" si="5"/>
        <v>0</v>
      </c>
      <c r="S16" s="552">
        <f t="shared" si="6"/>
        <v>0</v>
      </c>
      <c r="T16" s="78" t="b">
        <f t="shared" si="1"/>
        <v>1</v>
      </c>
      <c r="U16" s="139" t="s">
        <v>576</v>
      </c>
      <c r="V16" s="2" t="b">
        <f t="shared" si="2"/>
        <v>1</v>
      </c>
      <c r="W16" s="135"/>
      <c r="X16" s="585"/>
      <c r="Y16" s="583">
        <v>1</v>
      </c>
      <c r="Z16" s="583">
        <f t="shared" si="8"/>
        <v>9</v>
      </c>
      <c r="AA16" s="585"/>
      <c r="AB16" s="583">
        <v>1</v>
      </c>
      <c r="AC16" s="583">
        <f t="shared" si="9"/>
        <v>9</v>
      </c>
    </row>
    <row r="17" spans="1:29" s="2" customFormat="1" ht="15.6" customHeight="1">
      <c r="A17" s="764" t="s">
        <v>450</v>
      </c>
      <c r="B17" s="764" t="s">
        <v>445</v>
      </c>
      <c r="C17" s="774">
        <v>10</v>
      </c>
      <c r="D17" s="20" t="s">
        <v>206</v>
      </c>
      <c r="E17" s="483" t="s">
        <v>261</v>
      </c>
      <c r="F17" s="98" t="s">
        <v>494</v>
      </c>
      <c r="G17" s="5" t="s">
        <v>285</v>
      </c>
      <c r="H17" s="200">
        <v>10</v>
      </c>
      <c r="I17" s="5" t="s">
        <v>268</v>
      </c>
      <c r="J17" s="794">
        <v>0</v>
      </c>
      <c r="K17" s="57">
        <v>0</v>
      </c>
      <c r="L17" s="290">
        <f t="shared" si="0"/>
        <v>0</v>
      </c>
      <c r="M17" s="467">
        <f>MAX(H17-K17*2,0)</f>
        <v>10</v>
      </c>
      <c r="N17" s="467">
        <f>MAX(M17-J17*2,0)</f>
        <v>10</v>
      </c>
      <c r="O17" s="512">
        <f t="shared" si="7"/>
        <v>0</v>
      </c>
      <c r="P17" s="812">
        <f>H17-N17</f>
        <v>0</v>
      </c>
      <c r="Q17" s="552">
        <f t="shared" si="4"/>
        <v>0</v>
      </c>
      <c r="R17" s="552">
        <f t="shared" si="5"/>
        <v>0</v>
      </c>
      <c r="S17" s="552">
        <f t="shared" si="6"/>
        <v>0</v>
      </c>
      <c r="T17" s="78" t="b">
        <f t="shared" si="1"/>
        <v>1</v>
      </c>
      <c r="U17" s="2" t="s">
        <v>206</v>
      </c>
      <c r="V17" s="2" t="b">
        <f t="shared" si="2"/>
        <v>1</v>
      </c>
      <c r="W17" s="135"/>
      <c r="X17" s="585"/>
      <c r="Y17" s="583">
        <v>1</v>
      </c>
      <c r="Z17" s="583">
        <f t="shared" si="8"/>
        <v>10</v>
      </c>
      <c r="AA17" s="585"/>
      <c r="AB17" s="583">
        <v>1</v>
      </c>
      <c r="AC17" s="583">
        <f t="shared" si="9"/>
        <v>10</v>
      </c>
    </row>
    <row r="18" spans="1:29" s="2" customFormat="1" ht="15.6" customHeight="1" thickBot="1">
      <c r="A18" s="764" t="s">
        <v>451</v>
      </c>
      <c r="B18" s="764" t="s">
        <v>445</v>
      </c>
      <c r="C18" s="777">
        <v>11</v>
      </c>
      <c r="D18" s="60" t="s">
        <v>577</v>
      </c>
      <c r="E18" s="484" t="s">
        <v>261</v>
      </c>
      <c r="F18" s="97" t="s">
        <v>494</v>
      </c>
      <c r="G18" s="56" t="s">
        <v>285</v>
      </c>
      <c r="H18" s="201">
        <v>10</v>
      </c>
      <c r="I18" s="56"/>
      <c r="J18" s="929">
        <v>0</v>
      </c>
      <c r="K18" s="929">
        <v>0</v>
      </c>
      <c r="L18" s="770">
        <f t="shared" si="0"/>
        <v>0</v>
      </c>
      <c r="M18" s="840">
        <f>MAX(H18-K18*2,0)</f>
        <v>10</v>
      </c>
      <c r="N18" s="840">
        <f>MAX(M18-J18*2,0)</f>
        <v>10</v>
      </c>
      <c r="O18" s="897">
        <f t="shared" si="7"/>
        <v>0</v>
      </c>
      <c r="P18" s="930">
        <f>H18-N18</f>
        <v>0</v>
      </c>
      <c r="Q18" s="771">
        <f t="shared" si="4"/>
        <v>0</v>
      </c>
      <c r="R18" s="771">
        <f t="shared" si="5"/>
        <v>0</v>
      </c>
      <c r="S18" s="771">
        <f t="shared" si="6"/>
        <v>0</v>
      </c>
      <c r="T18" s="78" t="b">
        <f t="shared" si="1"/>
        <v>1</v>
      </c>
      <c r="U18" s="2" t="s">
        <v>577</v>
      </c>
      <c r="V18" s="2" t="b">
        <f t="shared" si="2"/>
        <v>1</v>
      </c>
      <c r="W18" s="135"/>
      <c r="X18" s="585"/>
      <c r="Y18" s="583">
        <v>1</v>
      </c>
      <c r="Z18" s="583">
        <f t="shared" si="8"/>
        <v>10</v>
      </c>
      <c r="AA18" s="585"/>
      <c r="AB18" s="583">
        <v>1</v>
      </c>
      <c r="AC18" s="583">
        <f t="shared" si="9"/>
        <v>10</v>
      </c>
    </row>
    <row r="19" spans="1:29" s="4" customFormat="1" ht="15.6" customHeight="1">
      <c r="A19" s="12"/>
      <c r="B19" s="12"/>
      <c r="C19" s="774"/>
      <c r="D19" s="931" t="s">
        <v>280</v>
      </c>
      <c r="E19" s="932"/>
      <c r="F19" s="933"/>
      <c r="G19" s="934"/>
      <c r="H19" s="935">
        <v>100</v>
      </c>
      <c r="I19" s="934"/>
      <c r="J19" s="936"/>
      <c r="K19" s="936"/>
      <c r="L19" s="936"/>
      <c r="M19" s="937">
        <f>SUBTOTAL(9,M4:M18)</f>
        <v>70</v>
      </c>
      <c r="N19" s="937">
        <f>SUBTOTAL(9,N4:N18)</f>
        <v>68</v>
      </c>
      <c r="O19" s="938">
        <f>M19-N19</f>
        <v>2</v>
      </c>
      <c r="P19" s="939">
        <f>H19-M19</f>
        <v>30</v>
      </c>
      <c r="Q19" s="940">
        <f t="shared" si="4"/>
        <v>30</v>
      </c>
      <c r="R19" s="940">
        <f t="shared" si="5"/>
        <v>6.666666666666667</v>
      </c>
      <c r="S19" s="940">
        <f t="shared" si="6"/>
        <v>3.3333333333333335</v>
      </c>
      <c r="T19" s="941"/>
      <c r="X19" s="734"/>
      <c r="Y19" s="734"/>
      <c r="Z19" s="753"/>
      <c r="AA19" s="734"/>
      <c r="AB19" s="734"/>
      <c r="AC19" s="753"/>
    </row>
    <row r="20" spans="1:29" s="2" customFormat="1" ht="14.25">
      <c r="C20" s="7"/>
      <c r="D20" s="942" t="s">
        <v>284</v>
      </c>
      <c r="E20" s="89"/>
      <c r="F20" s="551"/>
      <c r="G20" s="89"/>
      <c r="H20" s="836">
        <f>H8+SUM(H12:H18)</f>
        <v>74</v>
      </c>
      <c r="I20" s="89"/>
      <c r="J20" s="550"/>
      <c r="K20" s="550"/>
      <c r="L20" s="550"/>
      <c r="M20" s="814">
        <f>M19-M22</f>
        <v>70</v>
      </c>
      <c r="N20" s="814">
        <f>N19-N22</f>
        <v>68</v>
      </c>
      <c r="O20" s="257"/>
      <c r="P20" s="811">
        <f>P8+SUM(P12:P18)</f>
        <v>4</v>
      </c>
      <c r="Q20" s="855">
        <f t="shared" si="4"/>
        <v>4</v>
      </c>
      <c r="R20" s="855">
        <f t="shared" si="5"/>
        <v>0.88888888888888884</v>
      </c>
      <c r="S20" s="855">
        <f t="shared" si="6"/>
        <v>0.44444444444444442</v>
      </c>
      <c r="T20" s="943" t="s">
        <v>1908</v>
      </c>
      <c r="X20" s="585"/>
      <c r="Y20" s="585"/>
      <c r="Z20" s="583"/>
      <c r="AA20" s="585"/>
      <c r="AB20" s="585"/>
      <c r="AC20" s="583"/>
    </row>
    <row r="21" spans="1:29" s="2" customFormat="1" ht="14.25">
      <c r="C21" s="7"/>
      <c r="D21" s="942" t="s">
        <v>1907</v>
      </c>
      <c r="E21" s="89"/>
      <c r="F21" s="551"/>
      <c r="G21" s="89"/>
      <c r="H21" s="836">
        <v>26</v>
      </c>
      <c r="I21" s="89"/>
      <c r="J21" s="550"/>
      <c r="K21" s="550"/>
      <c r="L21" s="550"/>
      <c r="M21" s="718">
        <f>M22</f>
        <v>0</v>
      </c>
      <c r="N21" s="718">
        <f>N22</f>
        <v>0</v>
      </c>
      <c r="O21" s="257"/>
      <c r="P21" s="811">
        <f>P4+P7+P9</f>
        <v>26</v>
      </c>
      <c r="Q21" s="855">
        <f t="shared" si="4"/>
        <v>26</v>
      </c>
      <c r="R21" s="855">
        <f t="shared" si="5"/>
        <v>5.7777777777777777</v>
      </c>
      <c r="S21" s="855">
        <f t="shared" si="6"/>
        <v>2.8888888888888888</v>
      </c>
      <c r="T21" s="943" t="s">
        <v>1909</v>
      </c>
      <c r="X21" s="585"/>
      <c r="Y21" s="585"/>
      <c r="Z21" s="583"/>
      <c r="AA21" s="585"/>
      <c r="AB21" s="585"/>
      <c r="AC21" s="583"/>
    </row>
    <row r="22" spans="1:29" s="2" customFormat="1" ht="14.25">
      <c r="C22" s="7"/>
      <c r="D22" s="942" t="s">
        <v>550</v>
      </c>
      <c r="E22" s="89"/>
      <c r="F22" s="551"/>
      <c r="G22" s="89"/>
      <c r="H22" s="89"/>
      <c r="I22" s="89"/>
      <c r="J22" s="550"/>
      <c r="K22" s="550"/>
      <c r="L22" s="550"/>
      <c r="M22" s="718">
        <v>0</v>
      </c>
      <c r="N22" s="718">
        <v>0</v>
      </c>
      <c r="O22" s="257"/>
      <c r="P22" s="89"/>
      <c r="Q22" s="89"/>
      <c r="R22" s="89"/>
      <c r="S22" s="89"/>
      <c r="T22" s="944"/>
      <c r="X22" s="585"/>
      <c r="Y22" s="585"/>
      <c r="Z22" s="583"/>
      <c r="AA22" s="585"/>
      <c r="AB22" s="585"/>
      <c r="AC22" s="583"/>
    </row>
    <row r="23" spans="1:29" s="2" customFormat="1" ht="14.25">
      <c r="C23" s="7"/>
      <c r="D23" s="942" t="s">
        <v>552</v>
      </c>
      <c r="E23" s="89"/>
      <c r="F23" s="551"/>
      <c r="G23" s="89"/>
      <c r="H23" s="89"/>
      <c r="I23" s="89"/>
      <c r="J23" s="550"/>
      <c r="K23" s="550"/>
      <c r="L23" s="550"/>
      <c r="M23" s="718">
        <f>26-M22</f>
        <v>26</v>
      </c>
      <c r="N23" s="718">
        <f>26-N22</f>
        <v>26</v>
      </c>
      <c r="O23" s="257"/>
      <c r="P23" s="89"/>
      <c r="Q23" s="89"/>
      <c r="R23" s="89"/>
      <c r="S23" s="89"/>
      <c r="T23" s="944"/>
      <c r="X23" s="585"/>
      <c r="Y23" s="585"/>
      <c r="Z23" s="583"/>
      <c r="AA23" s="585"/>
      <c r="AB23" s="585"/>
      <c r="AC23" s="583"/>
    </row>
    <row r="24" spans="1:29" s="2" customFormat="1" ht="15" thickBot="1">
      <c r="C24" s="7"/>
      <c r="D24" s="945" t="s">
        <v>553</v>
      </c>
      <c r="E24" s="922"/>
      <c r="F24" s="923"/>
      <c r="G24" s="922"/>
      <c r="H24" s="922"/>
      <c r="I24" s="922"/>
      <c r="J24" s="946"/>
      <c r="K24" s="946"/>
      <c r="L24" s="946"/>
      <c r="M24" s="947">
        <f>100-SUM(M20:M21)</f>
        <v>30</v>
      </c>
      <c r="N24" s="947">
        <f>100-SUM(N20:N21)</f>
        <v>32</v>
      </c>
      <c r="O24" s="948"/>
      <c r="P24" s="922"/>
      <c r="Q24" s="922"/>
      <c r="R24" s="922"/>
      <c r="S24" s="922"/>
      <c r="T24" s="949"/>
      <c r="X24" s="585"/>
      <c r="Y24" s="585"/>
      <c r="Z24" s="583"/>
      <c r="AA24" s="585"/>
      <c r="AB24" s="585"/>
      <c r="AC24" s="583"/>
    </row>
    <row r="25" spans="1:29" s="2" customFormat="1" ht="14.25">
      <c r="C25" s="7"/>
      <c r="F25" s="83"/>
      <c r="J25" s="26"/>
      <c r="K25" s="26"/>
      <c r="L25" s="26"/>
      <c r="M25" s="18"/>
      <c r="N25" s="18"/>
      <c r="O25" s="18"/>
      <c r="X25" s="585"/>
      <c r="Y25" s="585"/>
      <c r="Z25" s="583"/>
      <c r="AA25" s="585"/>
      <c r="AB25" s="585"/>
      <c r="AC25" s="583"/>
    </row>
    <row r="26" spans="1:29" s="2" customFormat="1" ht="14.25">
      <c r="C26" s="7"/>
      <c r="F26" s="83"/>
      <c r="J26" s="26"/>
      <c r="K26" s="26"/>
      <c r="L26" s="26"/>
      <c r="O26" s="18"/>
      <c r="X26" s="585" t="s">
        <v>590</v>
      </c>
      <c r="Y26" s="585"/>
      <c r="Z26" s="583">
        <f>SUMPRODUCT(Y4:Y18,Z4:Z18)</f>
        <v>70.86363636363636</v>
      </c>
      <c r="AA26" s="585"/>
      <c r="AB26" s="585"/>
      <c r="AC26" s="583">
        <f>SUMPRODUCT(AB4:AB18,AC4:AC18)</f>
        <v>68.86363636363636</v>
      </c>
    </row>
    <row r="27" spans="1:29" s="2" customFormat="1" ht="14.25">
      <c r="C27" s="7"/>
      <c r="F27" s="83"/>
      <c r="J27" s="26"/>
      <c r="K27" s="26"/>
      <c r="L27" s="26"/>
      <c r="O27" s="18"/>
      <c r="X27" s="585" t="s">
        <v>1476</v>
      </c>
      <c r="Y27" s="585"/>
      <c r="Z27" s="583">
        <f>SUMPRODUCT(Y4:Y18,H4:H18)</f>
        <v>73.5</v>
      </c>
      <c r="AA27" s="585"/>
      <c r="AB27" s="585"/>
      <c r="AC27" s="583">
        <f>SUMPRODUCT(AB4:AB18,H4:H18)</f>
        <v>73.5</v>
      </c>
    </row>
    <row r="28" spans="1:29" s="2" customFormat="1" ht="14.25">
      <c r="C28" s="7"/>
      <c r="F28" s="83"/>
      <c r="J28" s="26"/>
      <c r="K28" s="26"/>
      <c r="L28" s="26"/>
      <c r="O28" s="18"/>
      <c r="X28" s="585"/>
      <c r="Y28" s="585"/>
      <c r="Z28" s="583"/>
      <c r="AA28" s="585"/>
      <c r="AB28" s="585"/>
      <c r="AC28" s="583"/>
    </row>
    <row r="29" spans="1:29" s="2" customFormat="1" ht="14.25">
      <c r="C29" s="7"/>
      <c r="F29" s="83"/>
      <c r="J29" s="26"/>
      <c r="K29" s="26"/>
      <c r="L29" s="26"/>
      <c r="O29" s="18"/>
      <c r="X29" s="585"/>
      <c r="Y29" s="585"/>
      <c r="Z29" s="583"/>
      <c r="AA29" s="585"/>
      <c r="AB29" s="585"/>
      <c r="AC29" s="584">
        <f>AC26/AC27*100</f>
        <v>93.692022263450824</v>
      </c>
    </row>
    <row r="30" spans="1:29" s="2" customFormat="1" ht="14.25">
      <c r="C30" s="7"/>
      <c r="D30" s="860" t="s">
        <v>1960</v>
      </c>
      <c r="F30" s="83"/>
      <c r="J30" s="26"/>
      <c r="K30" s="26"/>
      <c r="L30" s="26"/>
      <c r="O30" s="18"/>
      <c r="X30" s="585"/>
      <c r="Y30" s="585"/>
      <c r="Z30" s="583"/>
      <c r="AA30" s="585"/>
      <c r="AB30" s="585"/>
      <c r="AC30" s="583"/>
    </row>
    <row r="31" spans="1:29" s="2" customFormat="1" ht="14.25">
      <c r="C31" s="7"/>
      <c r="D31" s="893" t="s">
        <v>2008</v>
      </c>
      <c r="F31" s="83"/>
      <c r="J31" s="26"/>
      <c r="K31" s="26"/>
      <c r="L31" s="26"/>
      <c r="O31" s="18"/>
      <c r="X31" s="585"/>
      <c r="Y31" s="585"/>
      <c r="Z31" s="583"/>
      <c r="AA31" s="585"/>
      <c r="AB31" s="585"/>
      <c r="AC31" s="583"/>
    </row>
    <row r="32" spans="1:29" s="2" customFormat="1" ht="14.25">
      <c r="C32" s="7"/>
      <c r="F32" s="83"/>
      <c r="J32" s="26"/>
      <c r="K32" s="26"/>
      <c r="L32" s="26"/>
      <c r="O32" s="18"/>
      <c r="X32" s="585"/>
      <c r="Y32" s="585"/>
      <c r="Z32" s="583"/>
      <c r="AA32" s="585"/>
      <c r="AB32" s="585"/>
      <c r="AC32" s="583"/>
    </row>
    <row r="33" spans="3:29" s="2" customFormat="1" ht="14.25">
      <c r="C33" s="7"/>
      <c r="F33" s="83"/>
      <c r="J33" s="26"/>
      <c r="K33" s="26"/>
      <c r="L33" s="26"/>
      <c r="O33" s="18"/>
      <c r="X33" s="585"/>
      <c r="Y33" s="585"/>
      <c r="Z33" s="583"/>
      <c r="AA33" s="585"/>
      <c r="AB33" s="585"/>
      <c r="AC33" s="583"/>
    </row>
    <row r="34" spans="3:29" s="2" customFormat="1" ht="14.25">
      <c r="C34" s="7"/>
      <c r="F34" s="83"/>
      <c r="J34" s="26"/>
      <c r="K34" s="26"/>
      <c r="L34" s="26"/>
      <c r="O34" s="18"/>
      <c r="X34" s="585"/>
      <c r="Y34" s="585"/>
      <c r="Z34" s="583"/>
      <c r="AA34" s="585"/>
      <c r="AB34" s="585"/>
      <c r="AC34" s="583"/>
    </row>
    <row r="35" spans="3:29" s="2" customFormat="1" ht="14.25">
      <c r="C35" s="7"/>
      <c r="F35" s="83"/>
      <c r="J35" s="26"/>
      <c r="K35" s="26"/>
      <c r="L35" s="26"/>
      <c r="O35" s="18"/>
      <c r="X35" s="585"/>
      <c r="Y35" s="585"/>
      <c r="Z35" s="583"/>
      <c r="AA35" s="585"/>
      <c r="AB35" s="585"/>
      <c r="AC35" s="583"/>
    </row>
    <row r="36" spans="3:29" s="2" customFormat="1" ht="14.25">
      <c r="C36" s="7"/>
      <c r="F36" s="83"/>
      <c r="J36" s="26"/>
      <c r="K36" s="26"/>
      <c r="L36" s="26"/>
      <c r="O36" s="18"/>
      <c r="X36" s="585"/>
      <c r="Y36" s="585"/>
      <c r="Z36" s="583"/>
      <c r="AA36" s="585"/>
      <c r="AB36" s="585"/>
      <c r="AC36" s="583"/>
    </row>
    <row r="37" spans="3:29" s="2" customFormat="1" ht="14.25">
      <c r="C37" s="7"/>
      <c r="F37" s="83"/>
      <c r="J37" s="26"/>
      <c r="K37" s="26"/>
      <c r="L37" s="26"/>
      <c r="O37" s="18"/>
      <c r="X37" s="585"/>
      <c r="Y37" s="585"/>
      <c r="Z37" s="583"/>
      <c r="AA37" s="585"/>
      <c r="AB37" s="585"/>
      <c r="AC37" s="583"/>
    </row>
    <row r="38" spans="3:29" s="2" customFormat="1" ht="14.25">
      <c r="C38" s="7"/>
      <c r="F38" s="83"/>
      <c r="J38" s="26"/>
      <c r="K38" s="26"/>
      <c r="L38" s="26"/>
      <c r="O38" s="18"/>
      <c r="X38" s="585"/>
      <c r="Y38" s="585"/>
      <c r="Z38" s="583"/>
      <c r="AA38" s="585"/>
      <c r="AB38" s="585"/>
      <c r="AC38" s="583"/>
    </row>
    <row r="39" spans="3:29" s="2" customFormat="1" ht="14.25">
      <c r="C39" s="7"/>
      <c r="F39" s="83"/>
      <c r="J39" s="26"/>
      <c r="K39" s="26"/>
      <c r="L39" s="26"/>
      <c r="O39" s="18"/>
      <c r="X39" s="585"/>
      <c r="Y39" s="585"/>
      <c r="Z39" s="583"/>
      <c r="AA39" s="585"/>
      <c r="AB39" s="585"/>
      <c r="AC39" s="583"/>
    </row>
    <row r="40" spans="3:29" s="2" customFormat="1" ht="14.25">
      <c r="C40" s="7"/>
      <c r="F40" s="83"/>
      <c r="J40" s="26"/>
      <c r="K40" s="26"/>
      <c r="L40" s="26"/>
      <c r="O40" s="18"/>
      <c r="X40" s="585"/>
      <c r="Y40" s="585"/>
      <c r="Z40" s="583"/>
      <c r="AA40" s="585"/>
      <c r="AB40" s="585"/>
      <c r="AC40" s="583"/>
    </row>
    <row r="41" spans="3:29" s="2" customFormat="1" ht="14.25">
      <c r="C41" s="7"/>
      <c r="F41" s="83"/>
      <c r="J41" s="26"/>
      <c r="K41" s="26"/>
      <c r="L41" s="26"/>
      <c r="O41" s="18"/>
      <c r="X41" s="585"/>
      <c r="Y41" s="585"/>
      <c r="Z41" s="583"/>
      <c r="AA41" s="585"/>
      <c r="AB41" s="585"/>
      <c r="AC41" s="583"/>
    </row>
    <row r="42" spans="3:29" s="2" customFormat="1" ht="14.25">
      <c r="C42" s="7"/>
      <c r="F42" s="83"/>
      <c r="J42" s="26"/>
      <c r="K42" s="26"/>
      <c r="L42" s="26"/>
      <c r="O42" s="18"/>
      <c r="X42" s="585"/>
      <c r="Y42" s="585"/>
      <c r="Z42" s="583"/>
      <c r="AA42" s="585"/>
      <c r="AB42" s="585"/>
      <c r="AC42" s="583"/>
    </row>
    <row r="43" spans="3:29" s="2" customFormat="1" ht="14.25">
      <c r="C43" s="7"/>
      <c r="F43" s="83"/>
      <c r="J43" s="26"/>
      <c r="K43" s="26"/>
      <c r="L43" s="26"/>
      <c r="O43" s="18"/>
      <c r="X43" s="585"/>
      <c r="Y43" s="585"/>
      <c r="Z43" s="583"/>
      <c r="AA43" s="585"/>
      <c r="AB43" s="585"/>
      <c r="AC43" s="583"/>
    </row>
    <row r="44" spans="3:29" s="2" customFormat="1" ht="14.25">
      <c r="C44" s="7"/>
      <c r="F44" s="83"/>
      <c r="J44" s="26"/>
      <c r="K44" s="26"/>
      <c r="L44" s="26"/>
      <c r="O44" s="18"/>
      <c r="X44" s="585"/>
      <c r="Y44" s="585"/>
      <c r="Z44" s="583"/>
      <c r="AA44" s="585"/>
      <c r="AB44" s="585"/>
      <c r="AC44" s="583"/>
    </row>
    <row r="45" spans="3:29" s="2" customFormat="1" ht="14.25">
      <c r="C45" s="7"/>
      <c r="F45" s="83"/>
      <c r="J45" s="26"/>
      <c r="K45" s="26"/>
      <c r="L45" s="26"/>
      <c r="O45" s="18"/>
      <c r="X45" s="585"/>
      <c r="Y45" s="585"/>
      <c r="Z45" s="583"/>
      <c r="AA45" s="585"/>
      <c r="AB45" s="585"/>
      <c r="AC45" s="583"/>
    </row>
    <row r="46" spans="3:29" s="2" customFormat="1" ht="14.25">
      <c r="C46" s="7"/>
      <c r="F46" s="83"/>
      <c r="J46" s="26"/>
      <c r="K46" s="26"/>
      <c r="L46" s="26"/>
      <c r="O46" s="18"/>
      <c r="X46" s="585"/>
      <c r="Y46" s="585"/>
      <c r="Z46" s="583"/>
      <c r="AA46" s="585"/>
      <c r="AB46" s="585"/>
      <c r="AC46" s="583"/>
    </row>
    <row r="47" spans="3:29" s="2" customFormat="1" ht="14.25">
      <c r="C47" s="7"/>
      <c r="F47" s="83"/>
      <c r="J47" s="26"/>
      <c r="K47" s="26"/>
      <c r="L47" s="26"/>
      <c r="O47" s="18"/>
      <c r="X47" s="585"/>
      <c r="Y47" s="585"/>
      <c r="Z47" s="583"/>
      <c r="AA47" s="585"/>
      <c r="AB47" s="585"/>
      <c r="AC47" s="583"/>
    </row>
    <row r="48" spans="3:29" s="2" customFormat="1" ht="14.25">
      <c r="C48" s="7"/>
      <c r="F48" s="83"/>
      <c r="J48" s="26"/>
      <c r="K48" s="26"/>
      <c r="L48" s="26"/>
      <c r="O48" s="18"/>
      <c r="X48" s="585"/>
      <c r="Y48" s="585"/>
      <c r="Z48" s="583"/>
      <c r="AA48" s="585"/>
      <c r="AB48" s="585"/>
      <c r="AC48" s="583"/>
    </row>
    <row r="49" spans="3:29" s="2" customFormat="1" ht="14.25">
      <c r="C49" s="7"/>
      <c r="F49" s="83"/>
      <c r="J49" s="26"/>
      <c r="K49" s="26"/>
      <c r="L49" s="26"/>
      <c r="O49" s="18"/>
      <c r="X49" s="585"/>
      <c r="Y49" s="585"/>
      <c r="Z49" s="583"/>
      <c r="AA49" s="585"/>
      <c r="AB49" s="585"/>
      <c r="AC49" s="583"/>
    </row>
    <row r="50" spans="3:29" s="2" customFormat="1" ht="14.25">
      <c r="C50" s="7"/>
      <c r="F50" s="83"/>
      <c r="J50" s="26"/>
      <c r="K50" s="26"/>
      <c r="L50" s="26"/>
      <c r="O50" s="18"/>
      <c r="X50" s="585"/>
      <c r="Y50" s="585"/>
      <c r="Z50" s="583"/>
      <c r="AA50" s="585"/>
      <c r="AB50" s="585"/>
      <c r="AC50" s="583"/>
    </row>
    <row r="51" spans="3:29" s="2" customFormat="1" ht="14.25">
      <c r="C51" s="7"/>
      <c r="F51" s="83"/>
      <c r="J51" s="26"/>
      <c r="K51" s="26"/>
      <c r="L51" s="26"/>
      <c r="O51" s="18"/>
      <c r="X51" s="585"/>
      <c r="Y51" s="585"/>
      <c r="Z51" s="583"/>
      <c r="AA51" s="585"/>
      <c r="AB51" s="585"/>
      <c r="AC51" s="583"/>
    </row>
    <row r="52" spans="3:29" s="2" customFormat="1" ht="14.25">
      <c r="C52" s="7"/>
      <c r="F52" s="83"/>
      <c r="J52" s="26"/>
      <c r="K52" s="26"/>
      <c r="L52" s="26"/>
      <c r="O52" s="18"/>
      <c r="X52" s="585"/>
      <c r="Y52" s="585"/>
      <c r="Z52" s="583"/>
      <c r="AA52" s="585"/>
      <c r="AB52" s="585"/>
      <c r="AC52" s="583"/>
    </row>
    <row r="53" spans="3:29" s="2" customFormat="1" ht="14.25">
      <c r="C53" s="7"/>
      <c r="F53" s="83"/>
      <c r="J53" s="26"/>
      <c r="K53" s="26"/>
      <c r="L53" s="26"/>
      <c r="O53" s="18"/>
      <c r="X53" s="585"/>
      <c r="Y53" s="585"/>
      <c r="Z53" s="583"/>
      <c r="AA53" s="585"/>
      <c r="AB53" s="585"/>
      <c r="AC53" s="583"/>
    </row>
    <row r="54" spans="3:29" s="2" customFormat="1" ht="14.25">
      <c r="C54" s="7"/>
      <c r="F54" s="83"/>
      <c r="J54" s="26"/>
      <c r="K54" s="26"/>
      <c r="L54" s="26"/>
      <c r="O54" s="18"/>
      <c r="X54" s="585"/>
      <c r="Y54" s="585"/>
      <c r="Z54" s="583"/>
      <c r="AA54" s="585"/>
      <c r="AB54" s="585"/>
      <c r="AC54" s="583"/>
    </row>
    <row r="55" spans="3:29" s="2" customFormat="1" ht="14.25">
      <c r="C55" s="7"/>
      <c r="F55" s="83"/>
      <c r="J55" s="26"/>
      <c r="K55" s="26"/>
      <c r="L55" s="26"/>
      <c r="O55" s="18"/>
      <c r="X55" s="585"/>
      <c r="Y55" s="585"/>
      <c r="Z55" s="583"/>
      <c r="AA55" s="585"/>
      <c r="AB55" s="585"/>
      <c r="AC55" s="583"/>
    </row>
    <row r="56" spans="3:29" s="2" customFormat="1" ht="14.25">
      <c r="C56" s="7"/>
      <c r="F56" s="83"/>
      <c r="J56" s="26"/>
      <c r="K56" s="26"/>
      <c r="L56" s="26"/>
      <c r="O56" s="18"/>
      <c r="X56" s="585"/>
      <c r="Y56" s="585"/>
      <c r="Z56" s="583"/>
      <c r="AA56" s="585"/>
      <c r="AB56" s="585"/>
      <c r="AC56" s="583"/>
    </row>
    <row r="57" spans="3:29" s="2" customFormat="1" ht="14.25">
      <c r="C57" s="7"/>
      <c r="F57" s="83"/>
      <c r="J57" s="26"/>
      <c r="K57" s="26"/>
      <c r="L57" s="26"/>
      <c r="O57" s="18"/>
      <c r="X57" s="585"/>
      <c r="Y57" s="585"/>
      <c r="Z57" s="583"/>
      <c r="AA57" s="585"/>
      <c r="AB57" s="585"/>
      <c r="AC57" s="583"/>
    </row>
    <row r="58" spans="3:29" s="2" customFormat="1" ht="14.25">
      <c r="C58" s="7"/>
      <c r="F58" s="83"/>
      <c r="J58" s="26"/>
      <c r="K58" s="26"/>
      <c r="L58" s="26"/>
      <c r="O58" s="18"/>
      <c r="X58" s="585"/>
      <c r="Y58" s="585"/>
      <c r="Z58" s="583"/>
      <c r="AA58" s="585"/>
      <c r="AB58" s="585"/>
      <c r="AC58" s="583"/>
    </row>
    <row r="59" spans="3:29" s="2" customFormat="1" ht="14.25">
      <c r="C59" s="7"/>
      <c r="F59" s="83"/>
      <c r="J59" s="26"/>
      <c r="K59" s="26"/>
      <c r="L59" s="26"/>
      <c r="O59" s="18"/>
      <c r="X59" s="585"/>
      <c r="Y59" s="585"/>
      <c r="Z59" s="583"/>
      <c r="AA59" s="585"/>
      <c r="AB59" s="585"/>
      <c r="AC59" s="583"/>
    </row>
    <row r="60" spans="3:29" s="2" customFormat="1" ht="14.25">
      <c r="C60" s="7"/>
      <c r="F60" s="83"/>
      <c r="J60" s="26"/>
      <c r="K60" s="26"/>
      <c r="L60" s="26"/>
      <c r="O60" s="18"/>
      <c r="X60" s="585"/>
      <c r="Y60" s="585"/>
      <c r="Z60" s="583"/>
      <c r="AA60" s="585"/>
      <c r="AB60" s="585"/>
      <c r="AC60" s="583"/>
    </row>
    <row r="61" spans="3:29" s="2" customFormat="1" ht="14.25">
      <c r="C61" s="7"/>
      <c r="F61" s="83"/>
      <c r="J61" s="26"/>
      <c r="K61" s="26"/>
      <c r="L61" s="26"/>
      <c r="O61" s="18"/>
      <c r="X61" s="585"/>
      <c r="Y61" s="585"/>
      <c r="Z61" s="583"/>
      <c r="AA61" s="585"/>
      <c r="AB61" s="585"/>
      <c r="AC61" s="583"/>
    </row>
    <row r="62" spans="3:29" s="2" customFormat="1" ht="14.25">
      <c r="C62" s="7"/>
      <c r="F62" s="83"/>
      <c r="J62" s="26"/>
      <c r="K62" s="26"/>
      <c r="L62" s="26"/>
      <c r="O62" s="18"/>
      <c r="X62" s="585"/>
      <c r="Y62" s="585"/>
      <c r="Z62" s="583"/>
      <c r="AA62" s="585"/>
      <c r="AB62" s="585"/>
      <c r="AC62" s="583"/>
    </row>
    <row r="63" spans="3:29" s="2" customFormat="1" ht="14.25">
      <c r="C63" s="7"/>
      <c r="F63" s="83"/>
      <c r="J63" s="26"/>
      <c r="K63" s="26"/>
      <c r="L63" s="26"/>
      <c r="O63" s="18"/>
      <c r="X63" s="585"/>
      <c r="Y63" s="585"/>
      <c r="Z63" s="583"/>
      <c r="AA63" s="585"/>
      <c r="AB63" s="585"/>
      <c r="AC63" s="583"/>
    </row>
    <row r="64" spans="3:29" s="2" customFormat="1" ht="14.25">
      <c r="C64" s="7"/>
      <c r="F64" s="83"/>
      <c r="J64" s="26"/>
      <c r="K64" s="26"/>
      <c r="L64" s="26"/>
      <c r="O64" s="18"/>
      <c r="X64" s="585"/>
      <c r="Y64" s="585"/>
      <c r="Z64" s="583"/>
      <c r="AA64" s="585"/>
      <c r="AB64" s="585"/>
      <c r="AC64" s="583"/>
    </row>
    <row r="65" spans="3:29" s="2" customFormat="1" ht="14.25">
      <c r="C65" s="7"/>
      <c r="F65" s="83"/>
      <c r="J65" s="26"/>
      <c r="K65" s="26"/>
      <c r="L65" s="26"/>
      <c r="O65" s="18"/>
      <c r="X65" s="585"/>
      <c r="Y65" s="585"/>
      <c r="Z65" s="583"/>
      <c r="AA65" s="585"/>
      <c r="AB65" s="585"/>
      <c r="AC65" s="583"/>
    </row>
    <row r="66" spans="3:29" s="2" customFormat="1" ht="14.25">
      <c r="C66" s="7"/>
      <c r="F66" s="83"/>
      <c r="J66" s="26"/>
      <c r="K66" s="26"/>
      <c r="L66" s="26"/>
      <c r="O66" s="18"/>
      <c r="X66" s="585"/>
      <c r="Y66" s="585"/>
      <c r="Z66" s="583"/>
      <c r="AA66" s="585"/>
      <c r="AB66" s="585"/>
      <c r="AC66" s="583"/>
    </row>
    <row r="67" spans="3:29" s="2" customFormat="1" ht="14.25">
      <c r="C67" s="7"/>
      <c r="F67" s="83"/>
      <c r="J67" s="26"/>
      <c r="K67" s="26"/>
      <c r="L67" s="26"/>
      <c r="O67" s="18"/>
      <c r="X67" s="585"/>
      <c r="Y67" s="585"/>
      <c r="Z67" s="583"/>
      <c r="AA67" s="585"/>
      <c r="AB67" s="585"/>
      <c r="AC67" s="583"/>
    </row>
    <row r="68" spans="3:29" s="2" customFormat="1" ht="14.25">
      <c r="C68" s="7"/>
      <c r="F68" s="83"/>
      <c r="J68" s="26"/>
      <c r="K68" s="26"/>
      <c r="L68" s="26"/>
      <c r="O68" s="18"/>
      <c r="X68" s="585"/>
      <c r="Y68" s="585"/>
      <c r="Z68" s="583"/>
      <c r="AA68" s="585"/>
      <c r="AB68" s="585"/>
      <c r="AC68" s="583"/>
    </row>
    <row r="69" spans="3:29" s="2" customFormat="1" ht="14.25">
      <c r="C69" s="7"/>
      <c r="F69" s="83"/>
      <c r="J69" s="26"/>
      <c r="K69" s="26"/>
      <c r="L69" s="26"/>
      <c r="O69" s="18"/>
      <c r="X69" s="585"/>
      <c r="Y69" s="585"/>
      <c r="Z69" s="583"/>
      <c r="AA69" s="585"/>
      <c r="AB69" s="585"/>
      <c r="AC69" s="583"/>
    </row>
    <row r="70" spans="3:29" s="2" customFormat="1" ht="14.25">
      <c r="C70" s="7"/>
      <c r="F70" s="83"/>
      <c r="J70" s="26"/>
      <c r="K70" s="26"/>
      <c r="L70" s="26"/>
      <c r="O70" s="18"/>
      <c r="X70" s="585"/>
      <c r="Y70" s="585"/>
      <c r="Z70" s="583"/>
      <c r="AA70" s="585"/>
      <c r="AB70" s="585"/>
      <c r="AC70" s="583"/>
    </row>
    <row r="71" spans="3:29" s="2" customFormat="1" ht="14.25">
      <c r="C71" s="7"/>
      <c r="F71" s="83"/>
      <c r="J71" s="26"/>
      <c r="K71" s="26"/>
      <c r="L71" s="26"/>
      <c r="O71" s="18"/>
      <c r="X71" s="585"/>
      <c r="Y71" s="585"/>
      <c r="Z71" s="583"/>
      <c r="AA71" s="585"/>
      <c r="AB71" s="585"/>
      <c r="AC71" s="583"/>
    </row>
    <row r="72" spans="3:29" s="2" customFormat="1" ht="14.25">
      <c r="C72" s="7"/>
      <c r="F72" s="83"/>
      <c r="J72" s="26"/>
      <c r="K72" s="26"/>
      <c r="L72" s="26"/>
      <c r="O72" s="18"/>
      <c r="X72" s="585"/>
      <c r="Y72" s="585"/>
      <c r="Z72" s="583"/>
      <c r="AA72" s="585"/>
      <c r="AB72" s="585"/>
      <c r="AC72" s="583"/>
    </row>
    <row r="73" spans="3:29" s="2" customFormat="1" ht="14.25">
      <c r="C73" s="7"/>
      <c r="F73" s="83"/>
      <c r="J73" s="26"/>
      <c r="K73" s="26"/>
      <c r="L73" s="26"/>
      <c r="O73" s="18"/>
      <c r="X73" s="585"/>
      <c r="Y73" s="585"/>
      <c r="Z73" s="583"/>
      <c r="AA73" s="585"/>
      <c r="AB73" s="585"/>
      <c r="AC73" s="583"/>
    </row>
    <row r="74" spans="3:29" s="2" customFormat="1" ht="14.25">
      <c r="C74" s="7"/>
      <c r="F74" s="83"/>
      <c r="J74" s="26"/>
      <c r="K74" s="26"/>
      <c r="L74" s="26"/>
      <c r="O74" s="18"/>
      <c r="X74" s="585"/>
      <c r="Y74" s="585"/>
      <c r="Z74" s="583"/>
      <c r="AA74" s="585"/>
      <c r="AB74" s="585"/>
      <c r="AC74" s="583"/>
    </row>
    <row r="75" spans="3:29" s="2" customFormat="1" ht="14.25">
      <c r="C75" s="7"/>
      <c r="F75" s="83"/>
      <c r="J75" s="26"/>
      <c r="K75" s="26"/>
      <c r="L75" s="26"/>
      <c r="O75" s="18"/>
      <c r="X75" s="585"/>
      <c r="Y75" s="585"/>
      <c r="Z75" s="583"/>
      <c r="AA75" s="585"/>
      <c r="AB75" s="585"/>
      <c r="AC75" s="583"/>
    </row>
    <row r="76" spans="3:29" s="2" customFormat="1" ht="14.25">
      <c r="C76" s="7"/>
      <c r="F76" s="83"/>
      <c r="J76" s="26"/>
      <c r="K76" s="26"/>
      <c r="L76" s="26"/>
      <c r="O76" s="18"/>
      <c r="X76" s="585"/>
      <c r="Y76" s="585"/>
      <c r="Z76" s="583"/>
      <c r="AA76" s="585"/>
      <c r="AB76" s="585"/>
      <c r="AC76" s="583"/>
    </row>
    <row r="77" spans="3:29" s="2" customFormat="1" ht="14.25">
      <c r="C77" s="7"/>
      <c r="F77" s="83"/>
      <c r="J77" s="26"/>
      <c r="K77" s="26"/>
      <c r="L77" s="26"/>
      <c r="O77" s="18"/>
      <c r="X77" s="585"/>
      <c r="Y77" s="585"/>
      <c r="Z77" s="583"/>
      <c r="AA77" s="585"/>
      <c r="AB77" s="585"/>
      <c r="AC77" s="583"/>
    </row>
    <row r="78" spans="3:29" s="2" customFormat="1" ht="14.25">
      <c r="C78" s="7"/>
      <c r="F78" s="83"/>
      <c r="J78" s="26"/>
      <c r="K78" s="26"/>
      <c r="L78" s="26"/>
      <c r="O78" s="18"/>
      <c r="X78" s="585"/>
      <c r="Y78" s="585"/>
      <c r="Z78" s="583"/>
      <c r="AA78" s="585"/>
      <c r="AB78" s="585"/>
      <c r="AC78" s="583"/>
    </row>
    <row r="79" spans="3:29" s="2" customFormat="1" ht="14.25">
      <c r="C79" s="7"/>
      <c r="F79" s="83"/>
      <c r="J79" s="26"/>
      <c r="K79" s="26"/>
      <c r="L79" s="26"/>
      <c r="O79" s="18"/>
      <c r="X79" s="585"/>
      <c r="Y79" s="585"/>
      <c r="Z79" s="583"/>
      <c r="AA79" s="585"/>
      <c r="AB79" s="585"/>
      <c r="AC79" s="583"/>
    </row>
    <row r="80" spans="3:29" s="2" customFormat="1" ht="14.25">
      <c r="C80" s="7"/>
      <c r="F80" s="83"/>
      <c r="J80" s="26"/>
      <c r="K80" s="26"/>
      <c r="L80" s="26"/>
      <c r="O80" s="18"/>
      <c r="X80" s="585"/>
      <c r="Y80" s="585"/>
      <c r="Z80" s="583"/>
      <c r="AA80" s="585"/>
      <c r="AB80" s="585"/>
      <c r="AC80" s="583"/>
    </row>
    <row r="81" spans="3:29" s="2" customFormat="1" ht="14.25">
      <c r="C81" s="7"/>
      <c r="F81" s="83"/>
      <c r="J81" s="26"/>
      <c r="K81" s="26"/>
      <c r="L81" s="26"/>
      <c r="O81" s="18"/>
      <c r="X81" s="585"/>
      <c r="Y81" s="585"/>
      <c r="Z81" s="583"/>
      <c r="AA81" s="585"/>
      <c r="AB81" s="585"/>
      <c r="AC81" s="583"/>
    </row>
    <row r="82" spans="3:29" s="2" customFormat="1" ht="14.25">
      <c r="C82" s="7"/>
      <c r="F82" s="83"/>
      <c r="J82" s="26"/>
      <c r="K82" s="26"/>
      <c r="L82" s="26"/>
      <c r="O82" s="18"/>
      <c r="X82" s="585"/>
      <c r="Y82" s="585"/>
      <c r="Z82" s="583"/>
      <c r="AA82" s="585"/>
      <c r="AB82" s="585"/>
      <c r="AC82" s="583"/>
    </row>
    <row r="83" spans="3:29" s="2" customFormat="1" ht="14.25">
      <c r="C83" s="7"/>
      <c r="F83" s="83"/>
      <c r="J83" s="26"/>
      <c r="K83" s="26"/>
      <c r="L83" s="26"/>
      <c r="O83" s="18"/>
      <c r="X83" s="585"/>
      <c r="Y83" s="585"/>
      <c r="Z83" s="583"/>
      <c r="AA83" s="585"/>
      <c r="AB83" s="585"/>
      <c r="AC83" s="583"/>
    </row>
    <row r="84" spans="3:29" s="2" customFormat="1" ht="14.25">
      <c r="C84" s="7"/>
      <c r="F84" s="83"/>
      <c r="J84" s="26"/>
      <c r="K84" s="26"/>
      <c r="L84" s="26"/>
      <c r="O84" s="18"/>
      <c r="X84" s="585"/>
      <c r="Y84" s="585"/>
      <c r="Z84" s="583"/>
      <c r="AA84" s="585"/>
      <c r="AB84" s="585"/>
      <c r="AC84" s="583"/>
    </row>
    <row r="85" spans="3:29" s="2" customFormat="1" ht="14.25">
      <c r="C85" s="7"/>
      <c r="F85" s="83"/>
      <c r="J85" s="26"/>
      <c r="K85" s="26"/>
      <c r="L85" s="26"/>
      <c r="O85" s="18"/>
      <c r="X85" s="585"/>
      <c r="Y85" s="585"/>
      <c r="Z85" s="583"/>
      <c r="AA85" s="585"/>
      <c r="AB85" s="585"/>
      <c r="AC85" s="583"/>
    </row>
    <row r="86" spans="3:29" s="2" customFormat="1" ht="14.25">
      <c r="C86" s="7"/>
      <c r="F86" s="83"/>
      <c r="J86" s="26"/>
      <c r="K86" s="26"/>
      <c r="L86" s="26"/>
      <c r="O86" s="18"/>
      <c r="X86" s="585"/>
      <c r="Y86" s="585"/>
      <c r="Z86" s="583"/>
      <c r="AA86" s="585"/>
      <c r="AB86" s="585"/>
      <c r="AC86" s="583"/>
    </row>
    <row r="87" spans="3:29" s="2" customFormat="1" ht="14.25">
      <c r="C87" s="7"/>
      <c r="F87" s="83"/>
      <c r="J87" s="26"/>
      <c r="K87" s="26"/>
      <c r="L87" s="26"/>
      <c r="O87" s="18"/>
      <c r="X87" s="585"/>
      <c r="Y87" s="585"/>
      <c r="Z87" s="583"/>
      <c r="AA87" s="585"/>
      <c r="AB87" s="585"/>
      <c r="AC87" s="583"/>
    </row>
    <row r="88" spans="3:29" s="2" customFormat="1" ht="14.25">
      <c r="C88" s="7"/>
      <c r="F88" s="83"/>
      <c r="J88" s="26"/>
      <c r="K88" s="26"/>
      <c r="L88" s="26"/>
      <c r="O88" s="18"/>
      <c r="X88" s="585"/>
      <c r="Y88" s="585"/>
      <c r="Z88" s="583"/>
      <c r="AA88" s="585"/>
      <c r="AB88" s="585"/>
      <c r="AC88" s="583"/>
    </row>
    <row r="89" spans="3:29" s="2" customFormat="1" ht="14.25">
      <c r="C89" s="7"/>
      <c r="F89" s="83"/>
      <c r="J89" s="26"/>
      <c r="K89" s="26"/>
      <c r="L89" s="26"/>
      <c r="O89" s="18"/>
      <c r="X89" s="585"/>
      <c r="Y89" s="585"/>
      <c r="Z89" s="583"/>
      <c r="AA89" s="585"/>
      <c r="AB89" s="585"/>
      <c r="AC89" s="583"/>
    </row>
    <row r="90" spans="3:29" s="2" customFormat="1" ht="14.25">
      <c r="C90" s="7"/>
      <c r="F90" s="83"/>
      <c r="J90" s="26"/>
      <c r="K90" s="26"/>
      <c r="L90" s="26"/>
      <c r="O90" s="18"/>
      <c r="X90" s="585"/>
      <c r="Y90" s="585"/>
      <c r="Z90" s="583"/>
      <c r="AA90" s="585"/>
      <c r="AB90" s="585"/>
      <c r="AC90" s="583"/>
    </row>
    <row r="91" spans="3:29" s="2" customFormat="1" ht="14.25">
      <c r="C91" s="7"/>
      <c r="F91" s="83"/>
      <c r="J91" s="26"/>
      <c r="K91" s="26"/>
      <c r="L91" s="26"/>
      <c r="O91" s="18"/>
      <c r="X91" s="585"/>
      <c r="Y91" s="585"/>
      <c r="Z91" s="583"/>
      <c r="AA91" s="585"/>
      <c r="AB91" s="585"/>
      <c r="AC91" s="583"/>
    </row>
    <row r="92" spans="3:29" s="2" customFormat="1" ht="14.25">
      <c r="C92" s="7"/>
      <c r="F92" s="83"/>
      <c r="J92" s="26"/>
      <c r="K92" s="26"/>
      <c r="L92" s="26"/>
      <c r="O92" s="18"/>
      <c r="X92" s="585"/>
      <c r="Y92" s="585"/>
      <c r="Z92" s="583"/>
      <c r="AA92" s="585"/>
      <c r="AB92" s="585"/>
      <c r="AC92" s="583"/>
    </row>
    <row r="93" spans="3:29" s="2" customFormat="1" ht="14.25">
      <c r="C93" s="7"/>
      <c r="F93" s="83"/>
      <c r="J93" s="26"/>
      <c r="K93" s="26"/>
      <c r="L93" s="26"/>
      <c r="O93" s="18"/>
      <c r="X93" s="585"/>
      <c r="Y93" s="585"/>
      <c r="Z93" s="583"/>
      <c r="AA93" s="585"/>
      <c r="AB93" s="585"/>
      <c r="AC93" s="583"/>
    </row>
    <row r="94" spans="3:29" s="2" customFormat="1" ht="14.25">
      <c r="C94" s="7"/>
      <c r="F94" s="83"/>
      <c r="J94" s="26"/>
      <c r="K94" s="26"/>
      <c r="L94" s="26"/>
      <c r="O94" s="18"/>
      <c r="X94" s="585"/>
      <c r="Y94" s="585"/>
      <c r="Z94" s="583"/>
      <c r="AA94" s="585"/>
      <c r="AB94" s="585"/>
      <c r="AC94" s="583"/>
    </row>
    <row r="95" spans="3:29" s="2" customFormat="1" ht="14.25">
      <c r="C95" s="7"/>
      <c r="F95" s="83"/>
      <c r="J95" s="26"/>
      <c r="K95" s="26"/>
      <c r="L95" s="26"/>
      <c r="O95" s="18"/>
      <c r="X95" s="585"/>
      <c r="Y95" s="585"/>
      <c r="Z95" s="583"/>
      <c r="AA95" s="585"/>
      <c r="AB95" s="585"/>
      <c r="AC95" s="583"/>
    </row>
    <row r="96" spans="3:29" s="2" customFormat="1" ht="14.25">
      <c r="C96" s="7"/>
      <c r="F96" s="83"/>
      <c r="J96" s="26"/>
      <c r="K96" s="26"/>
      <c r="L96" s="26"/>
      <c r="O96" s="18"/>
      <c r="X96" s="585"/>
      <c r="Y96" s="585"/>
      <c r="Z96" s="583"/>
      <c r="AA96" s="585"/>
      <c r="AB96" s="585"/>
      <c r="AC96" s="583"/>
    </row>
    <row r="97" spans="3:29" s="2" customFormat="1" ht="14.25">
      <c r="C97" s="7"/>
      <c r="F97" s="83"/>
      <c r="J97" s="26"/>
      <c r="K97" s="26"/>
      <c r="L97" s="26"/>
      <c r="O97" s="18"/>
      <c r="X97" s="585"/>
      <c r="Y97" s="585"/>
      <c r="Z97" s="583"/>
      <c r="AA97" s="585"/>
      <c r="AB97" s="585"/>
      <c r="AC97" s="583"/>
    </row>
    <row r="98" spans="3:29" s="2" customFormat="1" ht="14.25">
      <c r="C98" s="7"/>
      <c r="F98" s="83"/>
      <c r="J98" s="26"/>
      <c r="K98" s="26"/>
      <c r="L98" s="26"/>
      <c r="O98" s="18"/>
      <c r="X98" s="585"/>
      <c r="Y98" s="585"/>
      <c r="Z98" s="583"/>
      <c r="AA98" s="585"/>
      <c r="AB98" s="585"/>
      <c r="AC98" s="583"/>
    </row>
    <row r="99" spans="3:29" s="2" customFormat="1" ht="14.25">
      <c r="C99" s="7"/>
      <c r="F99" s="83"/>
      <c r="J99" s="26"/>
      <c r="K99" s="26"/>
      <c r="L99" s="26"/>
      <c r="O99" s="18"/>
      <c r="X99" s="585"/>
      <c r="Y99" s="585"/>
      <c r="Z99" s="583"/>
      <c r="AA99" s="585"/>
      <c r="AB99" s="585"/>
      <c r="AC99" s="583"/>
    </row>
    <row r="100" spans="3:29" s="2" customFormat="1" ht="14.25">
      <c r="C100" s="7"/>
      <c r="F100" s="83"/>
      <c r="J100" s="26"/>
      <c r="K100" s="26"/>
      <c r="L100" s="26"/>
      <c r="O100" s="18"/>
      <c r="X100" s="585"/>
      <c r="Y100" s="585"/>
      <c r="Z100" s="583"/>
      <c r="AA100" s="585"/>
      <c r="AB100" s="585"/>
      <c r="AC100" s="583"/>
    </row>
    <row r="101" spans="3:29" s="2" customFormat="1" ht="14.25">
      <c r="C101" s="7"/>
      <c r="F101" s="83"/>
      <c r="J101" s="26"/>
      <c r="K101" s="26"/>
      <c r="L101" s="26"/>
      <c r="O101" s="18"/>
      <c r="X101" s="585"/>
      <c r="Y101" s="585"/>
      <c r="Z101" s="583"/>
      <c r="AA101" s="585"/>
      <c r="AB101" s="585"/>
      <c r="AC101" s="583"/>
    </row>
    <row r="102" spans="3:29" s="2" customFormat="1" ht="14.25">
      <c r="C102" s="7"/>
      <c r="F102" s="83"/>
      <c r="J102" s="26"/>
      <c r="K102" s="26"/>
      <c r="L102" s="26"/>
      <c r="O102" s="18"/>
      <c r="X102" s="585"/>
      <c r="Y102" s="585"/>
      <c r="Z102" s="583"/>
      <c r="AA102" s="585"/>
      <c r="AB102" s="585"/>
      <c r="AC102" s="583"/>
    </row>
    <row r="103" spans="3:29" s="2" customFormat="1" ht="14.25">
      <c r="C103" s="7"/>
      <c r="F103" s="83"/>
      <c r="J103" s="26"/>
      <c r="K103" s="26"/>
      <c r="L103" s="26"/>
      <c r="O103" s="18"/>
      <c r="X103" s="585"/>
      <c r="Y103" s="585"/>
      <c r="Z103" s="583"/>
      <c r="AA103" s="585"/>
      <c r="AB103" s="585"/>
      <c r="AC103" s="583"/>
    </row>
    <row r="104" spans="3:29" s="2" customFormat="1" ht="14.25">
      <c r="C104" s="7"/>
      <c r="F104" s="83"/>
      <c r="J104" s="26"/>
      <c r="K104" s="26"/>
      <c r="L104" s="26"/>
      <c r="O104" s="18"/>
      <c r="X104" s="585"/>
      <c r="Y104" s="585"/>
      <c r="Z104" s="583"/>
      <c r="AA104" s="585"/>
      <c r="AB104" s="585"/>
      <c r="AC104" s="583"/>
    </row>
    <row r="105" spans="3:29" s="2" customFormat="1" ht="14.25">
      <c r="C105" s="7"/>
      <c r="F105" s="83"/>
      <c r="J105" s="26"/>
      <c r="K105" s="26"/>
      <c r="L105" s="26"/>
      <c r="O105" s="18"/>
      <c r="X105" s="585"/>
      <c r="Y105" s="585"/>
      <c r="Z105" s="583"/>
      <c r="AA105" s="585"/>
      <c r="AB105" s="585"/>
      <c r="AC105" s="583"/>
    </row>
    <row r="106" spans="3:29" s="2" customFormat="1" ht="14.25">
      <c r="C106" s="7"/>
      <c r="F106" s="83"/>
      <c r="J106" s="26"/>
      <c r="K106" s="26"/>
      <c r="L106" s="26"/>
      <c r="O106" s="18"/>
      <c r="X106" s="585"/>
      <c r="Y106" s="585"/>
      <c r="Z106" s="583"/>
      <c r="AA106" s="585"/>
      <c r="AB106" s="585"/>
      <c r="AC106" s="583"/>
    </row>
    <row r="107" spans="3:29" s="2" customFormat="1" ht="14.25">
      <c r="C107" s="7"/>
      <c r="F107" s="83"/>
      <c r="J107" s="26"/>
      <c r="K107" s="26"/>
      <c r="L107" s="26"/>
      <c r="O107" s="18"/>
      <c r="X107" s="585"/>
      <c r="Y107" s="585"/>
      <c r="Z107" s="583"/>
      <c r="AA107" s="585"/>
      <c r="AB107" s="585"/>
      <c r="AC107" s="583"/>
    </row>
    <row r="108" spans="3:29" s="2" customFormat="1" ht="14.25">
      <c r="C108" s="7"/>
      <c r="F108" s="83"/>
      <c r="J108" s="26"/>
      <c r="K108" s="26"/>
      <c r="L108" s="26"/>
      <c r="O108" s="18"/>
      <c r="X108" s="585"/>
      <c r="Y108" s="585"/>
      <c r="Z108" s="583"/>
      <c r="AA108" s="585"/>
      <c r="AB108" s="585"/>
      <c r="AC108" s="583"/>
    </row>
    <row r="109" spans="3:29" s="2" customFormat="1" ht="14.25">
      <c r="C109" s="7"/>
      <c r="F109" s="83"/>
      <c r="J109" s="26"/>
      <c r="K109" s="26"/>
      <c r="L109" s="26"/>
      <c r="O109" s="18"/>
      <c r="X109" s="585"/>
      <c r="Y109" s="585"/>
      <c r="Z109" s="583"/>
      <c r="AA109" s="585"/>
      <c r="AB109" s="585"/>
      <c r="AC109" s="583"/>
    </row>
    <row r="110" spans="3:29" s="2" customFormat="1" ht="14.25">
      <c r="C110" s="7"/>
      <c r="F110" s="83"/>
      <c r="J110" s="26"/>
      <c r="K110" s="26"/>
      <c r="L110" s="26"/>
      <c r="O110" s="18"/>
      <c r="X110" s="585"/>
      <c r="Y110" s="585"/>
      <c r="Z110" s="583"/>
      <c r="AA110" s="585"/>
      <c r="AB110" s="585"/>
      <c r="AC110" s="583"/>
    </row>
    <row r="111" spans="3:29" s="2" customFormat="1" ht="14.25">
      <c r="C111" s="7"/>
      <c r="F111" s="83"/>
      <c r="J111" s="26"/>
      <c r="K111" s="26"/>
      <c r="L111" s="26"/>
      <c r="O111" s="18"/>
      <c r="X111" s="585"/>
      <c r="Y111" s="585"/>
      <c r="Z111" s="583"/>
      <c r="AA111" s="585"/>
      <c r="AB111" s="585"/>
      <c r="AC111" s="583"/>
    </row>
    <row r="112" spans="3:29" s="2" customFormat="1" ht="14.25">
      <c r="C112" s="7"/>
      <c r="F112" s="83"/>
      <c r="J112" s="26"/>
      <c r="K112" s="26"/>
      <c r="L112" s="26"/>
      <c r="O112" s="18"/>
      <c r="X112" s="585"/>
      <c r="Y112" s="585"/>
      <c r="Z112" s="583"/>
      <c r="AA112" s="585"/>
      <c r="AB112" s="585"/>
      <c r="AC112" s="583"/>
    </row>
    <row r="113" spans="3:29" s="2" customFormat="1" ht="14.25">
      <c r="C113" s="7"/>
      <c r="F113" s="83"/>
      <c r="J113" s="26"/>
      <c r="K113" s="26"/>
      <c r="L113" s="26"/>
      <c r="O113" s="18"/>
      <c r="X113" s="585"/>
      <c r="Y113" s="585"/>
      <c r="Z113" s="583"/>
      <c r="AA113" s="585"/>
      <c r="AB113" s="585"/>
      <c r="AC113" s="583"/>
    </row>
    <row r="114" spans="3:29" s="2" customFormat="1" ht="14.25">
      <c r="C114" s="7"/>
      <c r="F114" s="83"/>
      <c r="J114" s="26"/>
      <c r="K114" s="26"/>
      <c r="L114" s="26"/>
      <c r="O114" s="18"/>
      <c r="X114" s="585"/>
      <c r="Y114" s="585"/>
      <c r="Z114" s="583"/>
      <c r="AA114" s="585"/>
      <c r="AB114" s="585"/>
      <c r="AC114" s="583"/>
    </row>
    <row r="115" spans="3:29" s="2" customFormat="1" ht="14.25">
      <c r="C115" s="7"/>
      <c r="F115" s="83"/>
      <c r="J115" s="26"/>
      <c r="K115" s="26"/>
      <c r="L115" s="26"/>
      <c r="O115" s="18"/>
      <c r="X115" s="585"/>
      <c r="Y115" s="585"/>
      <c r="Z115" s="583"/>
      <c r="AA115" s="585"/>
      <c r="AB115" s="585"/>
      <c r="AC115" s="583"/>
    </row>
    <row r="116" spans="3:29" s="2" customFormat="1" ht="14.25">
      <c r="C116" s="7"/>
      <c r="F116" s="83"/>
      <c r="J116" s="26"/>
      <c r="K116" s="26"/>
      <c r="L116" s="26"/>
      <c r="O116" s="18"/>
      <c r="X116" s="585"/>
      <c r="Y116" s="585"/>
      <c r="Z116" s="583"/>
      <c r="AA116" s="585"/>
      <c r="AB116" s="585"/>
      <c r="AC116" s="583"/>
    </row>
    <row r="117" spans="3:29" s="2" customFormat="1" ht="14.25">
      <c r="C117" s="7"/>
      <c r="F117" s="83"/>
      <c r="J117" s="26"/>
      <c r="K117" s="26"/>
      <c r="L117" s="26"/>
      <c r="O117" s="18"/>
      <c r="X117" s="585"/>
      <c r="Y117" s="585"/>
      <c r="Z117" s="583"/>
      <c r="AA117" s="585"/>
      <c r="AB117" s="585"/>
      <c r="AC117" s="583"/>
    </row>
    <row r="118" spans="3:29" s="2" customFormat="1" ht="14.25">
      <c r="C118" s="7"/>
      <c r="F118" s="83"/>
      <c r="J118" s="26"/>
      <c r="K118" s="26"/>
      <c r="L118" s="26"/>
      <c r="O118" s="18"/>
      <c r="X118" s="585"/>
      <c r="Y118" s="585"/>
      <c r="Z118" s="583"/>
      <c r="AA118" s="585"/>
      <c r="AB118" s="585"/>
      <c r="AC118" s="583"/>
    </row>
    <row r="119" spans="3:29" s="2" customFormat="1" ht="14.25">
      <c r="C119" s="7"/>
      <c r="F119" s="83"/>
      <c r="J119" s="26"/>
      <c r="K119" s="26"/>
      <c r="L119" s="26"/>
      <c r="O119" s="18"/>
      <c r="X119" s="585"/>
      <c r="Y119" s="585"/>
      <c r="Z119" s="583"/>
      <c r="AA119" s="585"/>
      <c r="AB119" s="585"/>
      <c r="AC119" s="583"/>
    </row>
    <row r="120" spans="3:29" s="2" customFormat="1" ht="14.25">
      <c r="C120" s="7"/>
      <c r="F120" s="83"/>
      <c r="J120" s="26"/>
      <c r="K120" s="26"/>
      <c r="L120" s="26"/>
      <c r="O120" s="18"/>
      <c r="X120" s="585"/>
      <c r="Y120" s="585"/>
      <c r="Z120" s="583"/>
      <c r="AA120" s="585"/>
      <c r="AB120" s="585"/>
      <c r="AC120" s="583"/>
    </row>
    <row r="121" spans="3:29" s="2" customFormat="1" ht="14.25">
      <c r="C121" s="7"/>
      <c r="F121" s="83"/>
      <c r="J121" s="26"/>
      <c r="K121" s="26"/>
      <c r="L121" s="26"/>
      <c r="O121" s="18"/>
      <c r="X121" s="585"/>
      <c r="Y121" s="585"/>
      <c r="Z121" s="583"/>
      <c r="AA121" s="585"/>
      <c r="AB121" s="585"/>
      <c r="AC121" s="583"/>
    </row>
    <row r="122" spans="3:29" s="2" customFormat="1" ht="14.25">
      <c r="C122" s="7"/>
      <c r="F122" s="83"/>
      <c r="J122" s="26"/>
      <c r="K122" s="26"/>
      <c r="L122" s="26"/>
      <c r="O122" s="18"/>
      <c r="X122" s="585"/>
      <c r="Y122" s="585"/>
      <c r="Z122" s="583"/>
      <c r="AA122" s="585"/>
      <c r="AB122" s="585"/>
      <c r="AC122" s="583"/>
    </row>
    <row r="123" spans="3:29" s="2" customFormat="1" ht="14.25">
      <c r="C123" s="7"/>
      <c r="F123" s="83"/>
      <c r="J123" s="26"/>
      <c r="K123" s="26"/>
      <c r="L123" s="26"/>
      <c r="O123" s="18"/>
      <c r="X123" s="585"/>
      <c r="Y123" s="585"/>
      <c r="Z123" s="583"/>
      <c r="AA123" s="585"/>
      <c r="AB123" s="585"/>
      <c r="AC123" s="583"/>
    </row>
    <row r="124" spans="3:29" s="2" customFormat="1" ht="14.25">
      <c r="C124" s="7"/>
      <c r="F124" s="83"/>
      <c r="J124" s="26"/>
      <c r="K124" s="26"/>
      <c r="L124" s="26"/>
      <c r="O124" s="18"/>
      <c r="X124" s="585"/>
      <c r="Y124" s="585"/>
      <c r="Z124" s="583"/>
      <c r="AA124" s="585"/>
      <c r="AB124" s="585"/>
      <c r="AC124" s="583"/>
    </row>
    <row r="125" spans="3:29" s="2" customFormat="1" ht="14.25">
      <c r="C125" s="7"/>
      <c r="F125" s="83"/>
      <c r="J125" s="26"/>
      <c r="K125" s="26"/>
      <c r="L125" s="26"/>
      <c r="O125" s="18"/>
      <c r="X125" s="585"/>
      <c r="Y125" s="585"/>
      <c r="Z125" s="583"/>
      <c r="AA125" s="585"/>
      <c r="AB125" s="585"/>
      <c r="AC125" s="583"/>
    </row>
    <row r="126" spans="3:29" s="2" customFormat="1" ht="14.25">
      <c r="C126" s="7"/>
      <c r="F126" s="83"/>
      <c r="J126" s="26"/>
      <c r="K126" s="26"/>
      <c r="L126" s="26"/>
      <c r="O126" s="18"/>
      <c r="X126" s="585"/>
      <c r="Y126" s="585"/>
      <c r="Z126" s="583"/>
      <c r="AA126" s="585"/>
      <c r="AB126" s="585"/>
      <c r="AC126" s="583"/>
    </row>
    <row r="127" spans="3:29" s="2" customFormat="1" ht="14.25">
      <c r="C127" s="7"/>
      <c r="F127" s="83"/>
      <c r="J127" s="26"/>
      <c r="K127" s="26"/>
      <c r="L127" s="26"/>
      <c r="O127" s="18"/>
      <c r="X127" s="585"/>
      <c r="Y127" s="585"/>
      <c r="Z127" s="583"/>
      <c r="AA127" s="585"/>
      <c r="AB127" s="585"/>
      <c r="AC127" s="583"/>
    </row>
    <row r="128" spans="3:29" s="2" customFormat="1" ht="14.25">
      <c r="C128" s="7"/>
      <c r="F128" s="83"/>
      <c r="J128" s="26"/>
      <c r="K128" s="26"/>
      <c r="L128" s="26"/>
      <c r="O128" s="18"/>
      <c r="X128" s="585"/>
      <c r="Y128" s="585"/>
      <c r="Z128" s="583"/>
      <c r="AA128" s="585"/>
      <c r="AB128" s="585"/>
      <c r="AC128" s="583"/>
    </row>
    <row r="129" spans="3:29" s="2" customFormat="1" ht="14.25">
      <c r="C129" s="7"/>
      <c r="F129" s="83"/>
      <c r="J129" s="26"/>
      <c r="K129" s="26"/>
      <c r="L129" s="26"/>
      <c r="O129" s="18"/>
      <c r="X129" s="585"/>
      <c r="Y129" s="585"/>
      <c r="Z129" s="583"/>
      <c r="AA129" s="585"/>
      <c r="AB129" s="585"/>
      <c r="AC129" s="583"/>
    </row>
    <row r="130" spans="3:29" s="2" customFormat="1" ht="14.25">
      <c r="C130" s="7"/>
      <c r="F130" s="83"/>
      <c r="J130" s="26"/>
      <c r="K130" s="26"/>
      <c r="L130" s="26"/>
      <c r="O130" s="18"/>
      <c r="X130" s="585"/>
      <c r="Y130" s="585"/>
      <c r="Z130" s="583"/>
      <c r="AA130" s="585"/>
      <c r="AB130" s="585"/>
      <c r="AC130" s="583"/>
    </row>
    <row r="131" spans="3:29" s="2" customFormat="1" ht="14.25">
      <c r="C131" s="7"/>
      <c r="F131" s="83"/>
      <c r="J131" s="26"/>
      <c r="K131" s="26"/>
      <c r="L131" s="26"/>
      <c r="O131" s="18"/>
      <c r="X131" s="585"/>
      <c r="Y131" s="585"/>
      <c r="Z131" s="583"/>
      <c r="AA131" s="585"/>
      <c r="AB131" s="585"/>
      <c r="AC131" s="583"/>
    </row>
    <row r="132" spans="3:29" s="2" customFormat="1" ht="14.25">
      <c r="C132" s="7"/>
      <c r="F132" s="83"/>
      <c r="J132" s="26"/>
      <c r="K132" s="26"/>
      <c r="L132" s="26"/>
      <c r="O132" s="18"/>
      <c r="X132" s="585"/>
      <c r="Y132" s="585"/>
      <c r="Z132" s="583"/>
      <c r="AA132" s="585"/>
      <c r="AB132" s="585"/>
      <c r="AC132" s="583"/>
    </row>
    <row r="133" spans="3:29" s="2" customFormat="1" ht="14.25">
      <c r="C133" s="7"/>
      <c r="F133" s="83"/>
      <c r="J133" s="26"/>
      <c r="K133" s="26"/>
      <c r="L133" s="26"/>
      <c r="O133" s="18"/>
      <c r="X133" s="585"/>
      <c r="Y133" s="585"/>
      <c r="Z133" s="583"/>
      <c r="AA133" s="585"/>
      <c r="AB133" s="585"/>
      <c r="AC133" s="583"/>
    </row>
    <row r="134" spans="3:29" s="2" customFormat="1" ht="14.25">
      <c r="C134" s="7"/>
      <c r="F134" s="83"/>
      <c r="J134" s="26"/>
      <c r="K134" s="26"/>
      <c r="L134" s="26"/>
      <c r="O134" s="18"/>
      <c r="X134" s="585"/>
      <c r="Y134" s="585"/>
      <c r="Z134" s="583"/>
      <c r="AA134" s="585"/>
      <c r="AB134" s="585"/>
      <c r="AC134" s="583"/>
    </row>
    <row r="135" spans="3:29" s="2" customFormat="1" ht="14.25">
      <c r="C135" s="7"/>
      <c r="F135" s="83"/>
      <c r="J135" s="26"/>
      <c r="K135" s="26"/>
      <c r="L135" s="26"/>
      <c r="O135" s="18"/>
      <c r="X135" s="585"/>
      <c r="Y135" s="585"/>
      <c r="Z135" s="583"/>
      <c r="AA135" s="585"/>
      <c r="AB135" s="585"/>
      <c r="AC135" s="583"/>
    </row>
    <row r="136" spans="3:29" s="2" customFormat="1" ht="14.25">
      <c r="C136" s="7"/>
      <c r="F136" s="83"/>
      <c r="J136" s="26"/>
      <c r="K136" s="26"/>
      <c r="L136" s="26"/>
      <c r="O136" s="18"/>
      <c r="X136" s="585"/>
      <c r="Y136" s="585"/>
      <c r="Z136" s="583"/>
      <c r="AA136" s="585"/>
      <c r="AB136" s="585"/>
      <c r="AC136" s="583"/>
    </row>
    <row r="137" spans="3:29" s="2" customFormat="1" ht="14.25">
      <c r="C137" s="7"/>
      <c r="F137" s="83"/>
      <c r="J137" s="26"/>
      <c r="K137" s="26"/>
      <c r="L137" s="26"/>
      <c r="O137" s="18"/>
      <c r="X137" s="585"/>
      <c r="Y137" s="585"/>
      <c r="Z137" s="583"/>
      <c r="AA137" s="585"/>
      <c r="AB137" s="585"/>
      <c r="AC137" s="583"/>
    </row>
    <row r="138" spans="3:29" s="2" customFormat="1" ht="14.25">
      <c r="C138" s="7"/>
      <c r="F138" s="83"/>
      <c r="J138" s="26"/>
      <c r="K138" s="26"/>
      <c r="L138" s="26"/>
      <c r="O138" s="18"/>
      <c r="X138" s="585"/>
      <c r="Y138" s="585"/>
      <c r="Z138" s="583"/>
      <c r="AA138" s="585"/>
      <c r="AB138" s="585"/>
      <c r="AC138" s="583"/>
    </row>
    <row r="139" spans="3:29" s="2" customFormat="1" ht="14.25">
      <c r="C139" s="7"/>
      <c r="F139" s="83"/>
      <c r="J139" s="26"/>
      <c r="K139" s="26"/>
      <c r="L139" s="26"/>
      <c r="O139" s="18"/>
      <c r="X139" s="585"/>
      <c r="Y139" s="585"/>
      <c r="Z139" s="583"/>
      <c r="AA139" s="585"/>
      <c r="AB139" s="585"/>
      <c r="AC139" s="583"/>
    </row>
    <row r="140" spans="3:29" s="2" customFormat="1" ht="14.25">
      <c r="C140" s="7"/>
      <c r="F140" s="83"/>
      <c r="J140" s="26"/>
      <c r="K140" s="26"/>
      <c r="L140" s="26"/>
      <c r="O140" s="18"/>
      <c r="X140" s="585"/>
      <c r="Y140" s="585"/>
      <c r="Z140" s="583"/>
      <c r="AA140" s="585"/>
      <c r="AB140" s="585"/>
      <c r="AC140" s="583"/>
    </row>
    <row r="141" spans="3:29" s="2" customFormat="1" ht="14.25">
      <c r="C141" s="7"/>
      <c r="F141" s="83"/>
      <c r="J141" s="26"/>
      <c r="K141" s="26"/>
      <c r="L141" s="26"/>
      <c r="O141" s="18"/>
      <c r="X141" s="585"/>
      <c r="Y141" s="585"/>
      <c r="Z141" s="583"/>
      <c r="AA141" s="585"/>
      <c r="AB141" s="585"/>
      <c r="AC141" s="583"/>
    </row>
    <row r="142" spans="3:29" s="2" customFormat="1" ht="14.25">
      <c r="C142" s="7"/>
      <c r="F142" s="83"/>
      <c r="J142" s="26"/>
      <c r="K142" s="26"/>
      <c r="L142" s="26"/>
      <c r="O142" s="18"/>
      <c r="X142" s="585"/>
      <c r="Y142" s="585"/>
      <c r="Z142" s="583"/>
      <c r="AA142" s="585"/>
      <c r="AB142" s="585"/>
      <c r="AC142" s="583"/>
    </row>
    <row r="143" spans="3:29" s="2" customFormat="1" ht="14.25">
      <c r="C143" s="7"/>
      <c r="F143" s="83"/>
      <c r="J143" s="26"/>
      <c r="K143" s="26"/>
      <c r="L143" s="26"/>
      <c r="O143" s="18"/>
      <c r="X143" s="585"/>
      <c r="Y143" s="585"/>
      <c r="Z143" s="583"/>
      <c r="AA143" s="585"/>
      <c r="AB143" s="585"/>
      <c r="AC143" s="583"/>
    </row>
    <row r="144" spans="3:29" s="2" customFormat="1" ht="14.25">
      <c r="C144" s="7"/>
      <c r="F144" s="83"/>
      <c r="J144" s="26"/>
      <c r="K144" s="26"/>
      <c r="L144" s="26"/>
      <c r="O144" s="18"/>
      <c r="X144" s="585"/>
      <c r="Y144" s="585"/>
      <c r="Z144" s="583"/>
      <c r="AA144" s="585"/>
      <c r="AB144" s="585"/>
      <c r="AC144" s="583"/>
    </row>
    <row r="145" spans="3:29" s="2" customFormat="1" ht="14.25">
      <c r="C145" s="7"/>
      <c r="F145" s="83"/>
      <c r="J145" s="26"/>
      <c r="K145" s="26"/>
      <c r="L145" s="26"/>
      <c r="O145" s="18"/>
      <c r="X145" s="585"/>
      <c r="Y145" s="585"/>
      <c r="Z145" s="583"/>
      <c r="AA145" s="585"/>
      <c r="AB145" s="585"/>
      <c r="AC145" s="583"/>
    </row>
    <row r="146" spans="3:29" s="2" customFormat="1" ht="14.25">
      <c r="C146" s="7"/>
      <c r="F146" s="83"/>
      <c r="J146" s="26"/>
      <c r="K146" s="26"/>
      <c r="L146" s="26"/>
      <c r="O146" s="18"/>
      <c r="X146" s="585"/>
      <c r="Y146" s="585"/>
      <c r="Z146" s="583"/>
      <c r="AA146" s="585"/>
      <c r="AB146" s="585"/>
      <c r="AC146" s="583"/>
    </row>
    <row r="147" spans="3:29" s="2" customFormat="1" ht="14.25">
      <c r="C147" s="7"/>
      <c r="F147" s="83"/>
      <c r="J147" s="26"/>
      <c r="K147" s="26"/>
      <c r="L147" s="26"/>
      <c r="O147" s="18"/>
      <c r="X147" s="585"/>
      <c r="Y147" s="585"/>
      <c r="Z147" s="583"/>
      <c r="AA147" s="585"/>
      <c r="AB147" s="585"/>
      <c r="AC147" s="583"/>
    </row>
    <row r="148" spans="3:29" s="2" customFormat="1" ht="14.25">
      <c r="C148" s="7"/>
      <c r="F148" s="83"/>
      <c r="J148" s="26"/>
      <c r="K148" s="26"/>
      <c r="L148" s="26"/>
      <c r="O148" s="18"/>
      <c r="X148" s="585"/>
      <c r="Y148" s="585"/>
      <c r="Z148" s="583"/>
      <c r="AA148" s="585"/>
      <c r="AB148" s="585"/>
      <c r="AC148" s="583"/>
    </row>
    <row r="149" spans="3:29" s="2" customFormat="1" ht="14.25">
      <c r="C149" s="7"/>
      <c r="F149" s="83"/>
      <c r="J149" s="26"/>
      <c r="K149" s="26"/>
      <c r="L149" s="26"/>
      <c r="O149" s="18"/>
      <c r="X149" s="585"/>
      <c r="Y149" s="585"/>
      <c r="Z149" s="583"/>
      <c r="AA149" s="585"/>
      <c r="AB149" s="585"/>
      <c r="AC149" s="583"/>
    </row>
    <row r="150" spans="3:29" s="2" customFormat="1" ht="14.25">
      <c r="C150" s="7"/>
      <c r="F150" s="83"/>
      <c r="J150" s="26"/>
      <c r="K150" s="26"/>
      <c r="L150" s="26"/>
      <c r="O150" s="18"/>
      <c r="X150" s="585"/>
      <c r="Y150" s="585"/>
      <c r="Z150" s="583"/>
      <c r="AA150" s="585"/>
      <c r="AB150" s="585"/>
      <c r="AC150" s="583"/>
    </row>
    <row r="151" spans="3:29" s="2" customFormat="1" ht="14.25">
      <c r="C151" s="7"/>
      <c r="F151" s="83"/>
      <c r="J151" s="26"/>
      <c r="K151" s="26"/>
      <c r="L151" s="26"/>
      <c r="O151" s="18"/>
      <c r="X151" s="585"/>
      <c r="Y151" s="585"/>
      <c r="Z151" s="583"/>
      <c r="AA151" s="585"/>
      <c r="AB151" s="585"/>
      <c r="AC151" s="583"/>
    </row>
    <row r="152" spans="3:29" s="2" customFormat="1" ht="14.25">
      <c r="C152" s="7"/>
      <c r="F152" s="83"/>
      <c r="J152" s="26"/>
      <c r="K152" s="26"/>
      <c r="L152" s="26"/>
      <c r="O152" s="18"/>
      <c r="X152" s="585"/>
      <c r="Y152" s="585"/>
      <c r="Z152" s="583"/>
      <c r="AA152" s="585"/>
      <c r="AB152" s="585"/>
      <c r="AC152" s="583"/>
    </row>
    <row r="153" spans="3:29" s="2" customFormat="1" ht="14.25">
      <c r="C153" s="7"/>
      <c r="F153" s="83"/>
      <c r="J153" s="26"/>
      <c r="K153" s="26"/>
      <c r="L153" s="26"/>
      <c r="O153" s="18"/>
      <c r="X153" s="585"/>
      <c r="Y153" s="585"/>
      <c r="Z153" s="583"/>
      <c r="AA153" s="585"/>
      <c r="AB153" s="585"/>
      <c r="AC153" s="583"/>
    </row>
    <row r="154" spans="3:29" s="2" customFormat="1" ht="14.25">
      <c r="C154" s="7"/>
      <c r="F154" s="83"/>
      <c r="J154" s="26"/>
      <c r="K154" s="26"/>
      <c r="L154" s="26"/>
      <c r="O154" s="18"/>
      <c r="X154" s="585"/>
      <c r="Y154" s="585"/>
      <c r="Z154" s="583"/>
      <c r="AA154" s="585"/>
      <c r="AB154" s="585"/>
      <c r="AC154" s="583"/>
    </row>
    <row r="155" spans="3:29" s="2" customFormat="1" ht="14.25">
      <c r="C155" s="7"/>
      <c r="F155" s="83"/>
      <c r="J155" s="26"/>
      <c r="K155" s="26"/>
      <c r="L155" s="26"/>
      <c r="O155" s="18"/>
      <c r="X155" s="585"/>
      <c r="Y155" s="585"/>
      <c r="Z155" s="583"/>
      <c r="AA155" s="585"/>
      <c r="AB155" s="585"/>
      <c r="AC155" s="583"/>
    </row>
    <row r="156" spans="3:29" s="2" customFormat="1" ht="14.25">
      <c r="C156" s="7"/>
      <c r="F156" s="83"/>
      <c r="J156" s="26"/>
      <c r="K156" s="26"/>
      <c r="L156" s="26"/>
      <c r="O156" s="18"/>
      <c r="X156" s="585"/>
      <c r="Y156" s="585"/>
      <c r="Z156" s="583"/>
      <c r="AA156" s="585"/>
      <c r="AB156" s="585"/>
      <c r="AC156" s="583"/>
    </row>
    <row r="157" spans="3:29" s="2" customFormat="1" ht="14.25">
      <c r="C157" s="7"/>
      <c r="F157" s="83"/>
      <c r="J157" s="26"/>
      <c r="K157" s="26"/>
      <c r="L157" s="26"/>
      <c r="O157" s="18"/>
      <c r="X157" s="585"/>
      <c r="Y157" s="585"/>
      <c r="Z157" s="583"/>
      <c r="AA157" s="585"/>
      <c r="AB157" s="585"/>
      <c r="AC157" s="583"/>
    </row>
    <row r="158" spans="3:29" s="2" customFormat="1" ht="14.25">
      <c r="C158" s="7"/>
      <c r="F158" s="83"/>
      <c r="J158" s="26"/>
      <c r="K158" s="26"/>
      <c r="L158" s="26"/>
      <c r="O158" s="18"/>
      <c r="X158" s="585"/>
      <c r="Y158" s="585"/>
      <c r="Z158" s="583"/>
      <c r="AA158" s="585"/>
      <c r="AB158" s="585"/>
      <c r="AC158" s="583"/>
    </row>
    <row r="159" spans="3:29" s="2" customFormat="1" ht="14.25">
      <c r="C159" s="7"/>
      <c r="F159" s="83"/>
      <c r="J159" s="26"/>
      <c r="K159" s="26"/>
      <c r="L159" s="26"/>
      <c r="O159" s="18"/>
      <c r="X159" s="585"/>
      <c r="Y159" s="585"/>
      <c r="Z159" s="583"/>
      <c r="AA159" s="585"/>
      <c r="AB159" s="585"/>
      <c r="AC159" s="583"/>
    </row>
    <row r="160" spans="3:29" s="2" customFormat="1" ht="14.25">
      <c r="C160" s="7"/>
      <c r="F160" s="83"/>
      <c r="J160" s="26"/>
      <c r="K160" s="26"/>
      <c r="L160" s="26"/>
      <c r="O160" s="18"/>
      <c r="X160" s="585"/>
      <c r="Y160" s="585"/>
      <c r="Z160" s="583"/>
      <c r="AA160" s="585"/>
      <c r="AB160" s="585"/>
      <c r="AC160" s="583"/>
    </row>
    <row r="161" spans="1:29" s="2" customFormat="1" ht="14.25">
      <c r="C161" s="7"/>
      <c r="F161" s="83"/>
      <c r="J161" s="26"/>
      <c r="K161" s="26"/>
      <c r="L161" s="26"/>
      <c r="O161" s="18"/>
      <c r="X161" s="585"/>
      <c r="Y161" s="585"/>
      <c r="Z161" s="583"/>
      <c r="AA161" s="585"/>
      <c r="AB161" s="585"/>
      <c r="AC161" s="583"/>
    </row>
    <row r="162" spans="1:29" s="2" customFormat="1" ht="14.25">
      <c r="C162" s="7"/>
      <c r="F162" s="83"/>
      <c r="J162" s="26"/>
      <c r="K162" s="26"/>
      <c r="L162" s="26"/>
      <c r="O162" s="18"/>
      <c r="X162" s="585"/>
      <c r="Y162" s="585"/>
      <c r="Z162" s="583"/>
      <c r="AA162" s="585"/>
      <c r="AB162" s="585"/>
      <c r="AC162" s="583"/>
    </row>
    <row r="163" spans="1:29" s="2" customFormat="1" ht="14.25">
      <c r="C163" s="7"/>
      <c r="F163" s="83"/>
      <c r="J163" s="26"/>
      <c r="K163" s="26"/>
      <c r="L163" s="26"/>
      <c r="O163" s="18"/>
      <c r="X163" s="585"/>
      <c r="Y163" s="585"/>
      <c r="Z163" s="583"/>
      <c r="AA163" s="585"/>
      <c r="AB163" s="585"/>
      <c r="AC163" s="583"/>
    </row>
    <row r="164" spans="1:29" s="2" customFormat="1" ht="14.25">
      <c r="C164" s="7"/>
      <c r="F164" s="83"/>
      <c r="J164" s="26"/>
      <c r="K164" s="26"/>
      <c r="L164" s="26"/>
      <c r="O164" s="18"/>
      <c r="X164" s="585"/>
      <c r="Y164" s="585"/>
      <c r="Z164" s="583"/>
      <c r="AA164" s="585"/>
      <c r="AB164" s="585"/>
      <c r="AC164" s="583"/>
    </row>
    <row r="165" spans="1:29" s="2" customFormat="1" ht="14.25">
      <c r="C165" s="7"/>
      <c r="F165" s="83"/>
      <c r="J165" s="26"/>
      <c r="K165" s="26"/>
      <c r="L165" s="26"/>
      <c r="O165" s="18"/>
      <c r="X165" s="585"/>
      <c r="Y165" s="585"/>
      <c r="Z165" s="583"/>
      <c r="AA165" s="585"/>
      <c r="AB165" s="585"/>
      <c r="AC165" s="583"/>
    </row>
    <row r="166" spans="1:29" s="2" customFormat="1" ht="14.25">
      <c r="C166" s="7"/>
      <c r="F166" s="83"/>
      <c r="J166" s="26"/>
      <c r="K166" s="26"/>
      <c r="L166" s="26"/>
      <c r="O166" s="18"/>
      <c r="X166" s="585"/>
      <c r="Y166" s="585"/>
      <c r="Z166" s="583"/>
      <c r="AA166" s="585"/>
      <c r="AB166" s="585"/>
      <c r="AC166" s="583"/>
    </row>
    <row r="167" spans="1:29" s="2" customFormat="1" ht="14.25">
      <c r="C167" s="7"/>
      <c r="F167" s="83"/>
      <c r="J167" s="26"/>
      <c r="K167" s="26"/>
      <c r="L167" s="26"/>
      <c r="O167" s="18"/>
      <c r="X167" s="585"/>
      <c r="Y167" s="585"/>
      <c r="Z167" s="583"/>
      <c r="AA167" s="585"/>
      <c r="AB167" s="585"/>
      <c r="AC167" s="583"/>
    </row>
    <row r="168" spans="1:29" s="2" customFormat="1" ht="14.25">
      <c r="C168" s="7"/>
      <c r="F168" s="83"/>
      <c r="J168" s="26"/>
      <c r="K168" s="26"/>
      <c r="L168" s="26"/>
      <c r="O168" s="18"/>
      <c r="X168" s="585"/>
      <c r="Y168" s="585"/>
      <c r="Z168" s="583"/>
      <c r="AA168" s="585"/>
      <c r="AB168" s="585"/>
      <c r="AC168" s="583"/>
    </row>
    <row r="169" spans="1:29">
      <c r="A169" s="2"/>
      <c r="B169" s="2"/>
      <c r="C169" s="7"/>
      <c r="D169" s="2"/>
      <c r="F169" s="83"/>
      <c r="J169" s="26"/>
      <c r="K169" s="26"/>
      <c r="L169" s="26"/>
    </row>
  </sheetData>
  <mergeCells count="4">
    <mergeCell ref="A4:A6"/>
    <mergeCell ref="B4:B6"/>
    <mergeCell ref="A9:A11"/>
    <mergeCell ref="B9:B11"/>
  </mergeCells>
  <phoneticPr fontId="3" type="noConversion"/>
  <conditionalFormatting sqref="L4:L18">
    <cfRule type="cellIs" dxfId="74" priority="45" stopIfTrue="1" operator="lessThanOrEqual">
      <formula>-0.3</formula>
    </cfRule>
    <cfRule type="cellIs" dxfId="73" priority="46" stopIfTrue="1" operator="greaterThanOrEqual">
      <formula>0.3</formula>
    </cfRule>
  </conditionalFormatting>
  <conditionalFormatting sqref="P4:S18">
    <cfRule type="expression" dxfId="72" priority="43">
      <formula>P4&lt;&gt;0</formula>
    </cfRule>
  </conditionalFormatting>
  <conditionalFormatting sqref="P5:S5">
    <cfRule type="expression" dxfId="71" priority="41">
      <formula>$P$5&lt;〉0</formula>
    </cfRule>
  </conditionalFormatting>
  <conditionalFormatting sqref="O5:O6 O10:O18 O8">
    <cfRule type="expression" dxfId="70" priority="39">
      <formula>O5&lt;0</formula>
    </cfRule>
  </conditionalFormatting>
  <conditionalFormatting sqref="O5:O6 O10:O18 O8">
    <cfRule type="cellIs" dxfId="69" priority="37" stopIfTrue="1" operator="lessThan">
      <formula>0</formula>
    </cfRule>
    <cfRule type="cellIs" dxfId="68" priority="38" operator="greaterThan">
      <formula>0</formula>
    </cfRule>
  </conditionalFormatting>
  <hyperlinks>
    <hyperlink ref="D30" location="权重!A1" display="权重!A1"/>
    <hyperlink ref="D31" location="目录!A1" display="目录!A1"/>
  </hyperlinks>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sheetPr codeName="Sheet8">
    <tabColor theme="6"/>
  </sheetPr>
  <dimension ref="A1:Q251"/>
  <sheetViews>
    <sheetView workbookViewId="0">
      <pane xSplit="4" ySplit="3" topLeftCell="E4" activePane="bottomRight" state="frozen"/>
      <selection activeCell="A3" sqref="A3:B3"/>
      <selection pane="topRight" activeCell="A3" sqref="A3:B3"/>
      <selection pane="bottomLeft" activeCell="A3" sqref="A3:B3"/>
      <selection pane="bottomRight" activeCell="I24" sqref="I24"/>
    </sheetView>
  </sheetViews>
  <sheetFormatPr defaultColWidth="8.875" defaultRowHeight="16.5" outlineLevelCol="1"/>
  <cols>
    <col min="1" max="1" width="23.375" style="1" hidden="1" customWidth="1" outlineLevel="1"/>
    <col min="2" max="2" width="20.75" style="1" hidden="1" customWidth="1" outlineLevel="1"/>
    <col min="3" max="3" width="4.5" style="1" customWidth="1" collapsed="1"/>
    <col min="4" max="4" width="46.75" style="1" bestFit="1" customWidth="1"/>
    <col min="5" max="5" width="17.5" style="2" customWidth="1"/>
    <col min="6" max="6" width="9.375" style="1" hidden="1" customWidth="1" outlineLevel="1"/>
    <col min="7" max="7" width="8.875" style="1" hidden="1" customWidth="1" outlineLevel="1"/>
    <col min="8" max="8" width="11.5" style="19" hidden="1" customWidth="1" outlineLevel="1"/>
    <col min="9" max="10" width="13.75" style="1" customWidth="1" collapsed="1"/>
    <col min="11" max="11" width="11.5" style="1" customWidth="1"/>
    <col min="12" max="13" width="12.125" style="1" customWidth="1" outlineLevel="1"/>
    <col min="14" max="14" width="8.875" style="1" customWidth="1" outlineLevel="1"/>
    <col min="15" max="16384" width="8.875" style="1"/>
  </cols>
  <sheetData>
    <row r="1" spans="1:17">
      <c r="A1" s="47"/>
      <c r="B1" s="47"/>
      <c r="C1" s="726"/>
      <c r="D1" s="47" t="s">
        <v>228</v>
      </c>
      <c r="E1" s="89"/>
      <c r="F1" s="47"/>
      <c r="G1" s="726"/>
      <c r="H1" s="787"/>
      <c r="I1" s="47"/>
      <c r="J1" s="47"/>
      <c r="K1" s="726"/>
    </row>
    <row r="2" spans="1:17">
      <c r="A2" s="86"/>
      <c r="B2" s="47"/>
      <c r="C2" s="86"/>
      <c r="D2" s="86"/>
      <c r="F2" s="86"/>
      <c r="I2" s="47"/>
      <c r="J2" s="47"/>
      <c r="K2" s="726"/>
      <c r="M2" s="308" t="s">
        <v>2009</v>
      </c>
    </row>
    <row r="3" spans="1:17">
      <c r="A3" s="90" t="s">
        <v>588</v>
      </c>
      <c r="B3" s="90" t="s">
        <v>1174</v>
      </c>
      <c r="C3" s="14" t="s">
        <v>230</v>
      </c>
      <c r="D3" s="15" t="s">
        <v>229</v>
      </c>
      <c r="E3" s="15" t="s">
        <v>1803</v>
      </c>
      <c r="F3" s="15" t="s">
        <v>481</v>
      </c>
      <c r="G3" s="15" t="s">
        <v>745</v>
      </c>
      <c r="H3" s="15" t="s">
        <v>584</v>
      </c>
      <c r="I3" s="15" t="s">
        <v>1707</v>
      </c>
      <c r="J3" s="951" t="s">
        <v>2014</v>
      </c>
      <c r="K3" s="15" t="s">
        <v>1202</v>
      </c>
      <c r="L3" s="721" t="s">
        <v>1883</v>
      </c>
      <c r="M3" s="15" t="s">
        <v>1918</v>
      </c>
      <c r="N3" s="15" t="s">
        <v>1203</v>
      </c>
      <c r="O3" s="15" t="s">
        <v>554</v>
      </c>
    </row>
    <row r="4" spans="1:17" s="2" customFormat="1" ht="14.25">
      <c r="A4" s="1687" t="s">
        <v>480</v>
      </c>
      <c r="B4" s="1687" t="s">
        <v>1781</v>
      </c>
      <c r="C4" s="22">
        <v>1</v>
      </c>
      <c r="D4" s="58" t="s">
        <v>225</v>
      </c>
      <c r="E4" s="483" t="s">
        <v>262</v>
      </c>
      <c r="F4" s="101" t="s">
        <v>496</v>
      </c>
      <c r="G4" s="1583" t="s">
        <v>287</v>
      </c>
      <c r="H4" s="1592">
        <v>70</v>
      </c>
      <c r="I4" s="45">
        <v>1</v>
      </c>
      <c r="J4" s="45">
        <v>0</v>
      </c>
      <c r="K4" s="290">
        <f t="shared" ref="K4:K19" si="0">IF((I4=J4)=TRUE,0,1)</f>
        <v>1</v>
      </c>
      <c r="L4" s="1646">
        <v>70</v>
      </c>
      <c r="M4" s="1646">
        <v>68</v>
      </c>
      <c r="N4" s="1529">
        <f>L4-M4</f>
        <v>2</v>
      </c>
      <c r="O4" s="1591">
        <f>H4-L4</f>
        <v>0</v>
      </c>
      <c r="P4" s="5" t="s">
        <v>225</v>
      </c>
      <c r="Q4" s="2" t="b">
        <f t="shared" ref="Q4:Q19" si="1">P4=D4</f>
        <v>1</v>
      </c>
    </row>
    <row r="5" spans="1:17" s="2" customFormat="1" ht="14.25">
      <c r="A5" s="1688"/>
      <c r="B5" s="1690"/>
      <c r="C5" s="22">
        <v>2</v>
      </c>
      <c r="D5" s="58" t="s">
        <v>249</v>
      </c>
      <c r="E5" s="483" t="s">
        <v>262</v>
      </c>
      <c r="F5" s="107" t="s">
        <v>496</v>
      </c>
      <c r="G5" s="1583"/>
      <c r="H5" s="1592"/>
      <c r="I5" s="45" t="s">
        <v>1793</v>
      </c>
      <c r="J5" s="45" t="s">
        <v>2025</v>
      </c>
      <c r="K5" s="290">
        <f t="shared" si="0"/>
        <v>1</v>
      </c>
      <c r="L5" s="1646"/>
      <c r="M5" s="1646"/>
      <c r="N5" s="1530"/>
      <c r="O5" s="1591"/>
      <c r="P5" s="5" t="s">
        <v>578</v>
      </c>
      <c r="Q5" s="2" t="b">
        <f t="shared" si="1"/>
        <v>1</v>
      </c>
    </row>
    <row r="6" spans="1:17" s="2" customFormat="1" ht="14.25">
      <c r="A6" s="1688"/>
      <c r="B6" s="1690"/>
      <c r="C6" s="22">
        <v>3</v>
      </c>
      <c r="D6" s="58" t="s">
        <v>250</v>
      </c>
      <c r="E6" s="483" t="s">
        <v>262</v>
      </c>
      <c r="F6" s="107" t="s">
        <v>496</v>
      </c>
      <c r="G6" s="1583"/>
      <c r="H6" s="1592"/>
      <c r="I6" s="45">
        <v>0</v>
      </c>
      <c r="J6" s="45">
        <v>0</v>
      </c>
      <c r="K6" s="290">
        <f t="shared" si="0"/>
        <v>0</v>
      </c>
      <c r="L6" s="1646"/>
      <c r="M6" s="1646"/>
      <c r="N6" s="1530"/>
      <c r="O6" s="1591"/>
      <c r="P6" s="5" t="s">
        <v>1773</v>
      </c>
      <c r="Q6" s="2" t="b">
        <f t="shared" si="1"/>
        <v>1</v>
      </c>
    </row>
    <row r="7" spans="1:17" s="2" customFormat="1" ht="14.25">
      <c r="A7" s="1688"/>
      <c r="B7" s="1690"/>
      <c r="C7" s="22">
        <v>4</v>
      </c>
      <c r="D7" s="58" t="s">
        <v>251</v>
      </c>
      <c r="E7" s="483" t="s">
        <v>262</v>
      </c>
      <c r="F7" s="107" t="s">
        <v>496</v>
      </c>
      <c r="G7" s="1583"/>
      <c r="H7" s="1592"/>
      <c r="I7" s="45" t="s">
        <v>1482</v>
      </c>
      <c r="J7" s="45" t="s">
        <v>1482</v>
      </c>
      <c r="K7" s="290">
        <f t="shared" si="0"/>
        <v>0</v>
      </c>
      <c r="L7" s="1646"/>
      <c r="M7" s="1646"/>
      <c r="N7" s="1530"/>
      <c r="O7" s="1591"/>
      <c r="P7" s="5" t="s">
        <v>579</v>
      </c>
      <c r="Q7" s="2" t="b">
        <f t="shared" si="1"/>
        <v>1</v>
      </c>
    </row>
    <row r="8" spans="1:17" s="2" customFormat="1" ht="14.25">
      <c r="A8" s="1688"/>
      <c r="B8" s="1690"/>
      <c r="C8" s="22">
        <v>5</v>
      </c>
      <c r="D8" s="58" t="s">
        <v>226</v>
      </c>
      <c r="E8" s="483" t="s">
        <v>262</v>
      </c>
      <c r="F8" s="107" t="s">
        <v>496</v>
      </c>
      <c r="G8" s="1583"/>
      <c r="H8" s="1592"/>
      <c r="I8" s="45">
        <v>0</v>
      </c>
      <c r="J8" s="45">
        <v>0</v>
      </c>
      <c r="K8" s="290">
        <f t="shared" si="0"/>
        <v>0</v>
      </c>
      <c r="L8" s="1646"/>
      <c r="M8" s="1646"/>
      <c r="N8" s="1530"/>
      <c r="O8" s="1591"/>
      <c r="P8" s="5" t="s">
        <v>226</v>
      </c>
      <c r="Q8" s="2" t="b">
        <f t="shared" si="1"/>
        <v>1</v>
      </c>
    </row>
    <row r="9" spans="1:17" s="2" customFormat="1" ht="14.25">
      <c r="A9" s="1688"/>
      <c r="B9" s="1690"/>
      <c r="C9" s="22">
        <v>6</v>
      </c>
      <c r="D9" s="58" t="s">
        <v>252</v>
      </c>
      <c r="E9" s="483" t="s">
        <v>262</v>
      </c>
      <c r="F9" s="107" t="s">
        <v>496</v>
      </c>
      <c r="G9" s="1583"/>
      <c r="H9" s="1592"/>
      <c r="I9" s="45" t="s">
        <v>1482</v>
      </c>
      <c r="J9" s="45" t="s">
        <v>1482</v>
      </c>
      <c r="K9" s="290">
        <f t="shared" si="0"/>
        <v>0</v>
      </c>
      <c r="L9" s="1646"/>
      <c r="M9" s="1646"/>
      <c r="N9" s="1531"/>
      <c r="O9" s="1591"/>
      <c r="P9" s="5" t="s">
        <v>580</v>
      </c>
      <c r="Q9" s="2" t="b">
        <f t="shared" si="1"/>
        <v>1</v>
      </c>
    </row>
    <row r="10" spans="1:17" s="2" customFormat="1" ht="14.25">
      <c r="A10" s="1688"/>
      <c r="B10" s="1690"/>
      <c r="C10" s="22">
        <v>7</v>
      </c>
      <c r="D10" s="58" t="s">
        <v>1763</v>
      </c>
      <c r="E10" s="483" t="s">
        <v>262</v>
      </c>
      <c r="F10" s="107" t="s">
        <v>496</v>
      </c>
      <c r="G10" s="1583" t="s">
        <v>287</v>
      </c>
      <c r="H10" s="1592">
        <v>20</v>
      </c>
      <c r="I10" s="45">
        <v>0</v>
      </c>
      <c r="J10" s="45">
        <v>0</v>
      </c>
      <c r="K10" s="290">
        <f t="shared" si="0"/>
        <v>0</v>
      </c>
      <c r="L10" s="1583">
        <v>20</v>
      </c>
      <c r="M10" s="1583">
        <v>20</v>
      </c>
      <c r="N10" s="1529">
        <f>L10-M10</f>
        <v>0</v>
      </c>
      <c r="O10" s="1629">
        <f>H10-L10</f>
        <v>0</v>
      </c>
      <c r="P10" s="5" t="s">
        <v>1763</v>
      </c>
      <c r="Q10" s="2" t="b">
        <f t="shared" si="1"/>
        <v>1</v>
      </c>
    </row>
    <row r="11" spans="1:17" s="2" customFormat="1" ht="14.25">
      <c r="A11" s="1688"/>
      <c r="B11" s="1690"/>
      <c r="C11" s="22">
        <v>8</v>
      </c>
      <c r="D11" s="58" t="s">
        <v>1764</v>
      </c>
      <c r="E11" s="483" t="s">
        <v>262</v>
      </c>
      <c r="F11" s="107" t="s">
        <v>496</v>
      </c>
      <c r="G11" s="1583"/>
      <c r="H11" s="1592"/>
      <c r="I11" s="45">
        <v>0</v>
      </c>
      <c r="J11" s="45">
        <v>0</v>
      </c>
      <c r="K11" s="290">
        <f t="shared" si="0"/>
        <v>0</v>
      </c>
      <c r="L11" s="1583"/>
      <c r="M11" s="1583"/>
      <c r="N11" s="1530"/>
      <c r="O11" s="1630"/>
      <c r="P11" s="5" t="s">
        <v>227</v>
      </c>
      <c r="Q11" s="2" t="b">
        <f t="shared" si="1"/>
        <v>0</v>
      </c>
    </row>
    <row r="12" spans="1:17" s="2" customFormat="1" ht="14.25">
      <c r="A12" s="1688"/>
      <c r="B12" s="1690"/>
      <c r="C12" s="22">
        <v>9</v>
      </c>
      <c r="D12" s="58" t="s">
        <v>1765</v>
      </c>
      <c r="E12" s="483" t="s">
        <v>262</v>
      </c>
      <c r="F12" s="107" t="s">
        <v>496</v>
      </c>
      <c r="G12" s="1583"/>
      <c r="H12" s="1592"/>
      <c r="I12" s="45">
        <v>0</v>
      </c>
      <c r="J12" s="45">
        <v>0</v>
      </c>
      <c r="K12" s="290">
        <f t="shared" si="0"/>
        <v>0</v>
      </c>
      <c r="L12" s="1583"/>
      <c r="M12" s="1583"/>
      <c r="N12" s="1531"/>
      <c r="O12" s="1631"/>
      <c r="P12" s="5" t="s">
        <v>1774</v>
      </c>
      <c r="Q12" s="2" t="b">
        <f t="shared" si="1"/>
        <v>1</v>
      </c>
    </row>
    <row r="13" spans="1:17" s="2" customFormat="1" ht="16.5" customHeight="1">
      <c r="A13" s="1688"/>
      <c r="B13" s="1690"/>
      <c r="C13" s="22">
        <v>10</v>
      </c>
      <c r="D13" s="58" t="s">
        <v>1766</v>
      </c>
      <c r="E13" s="483" t="s">
        <v>262</v>
      </c>
      <c r="F13" s="107" t="s">
        <v>496</v>
      </c>
      <c r="G13" s="1694" t="s">
        <v>288</v>
      </c>
      <c r="H13" s="1692" t="s">
        <v>270</v>
      </c>
      <c r="I13" s="45">
        <v>0</v>
      </c>
      <c r="J13" s="45">
        <v>0</v>
      </c>
      <c r="K13" s="290">
        <f t="shared" si="0"/>
        <v>0</v>
      </c>
      <c r="L13" s="1543" t="s">
        <v>270</v>
      </c>
      <c r="M13" s="1694" t="s">
        <v>270</v>
      </c>
      <c r="N13" s="1529">
        <v>0</v>
      </c>
      <c r="O13" s="1629">
        <f>0</f>
        <v>0</v>
      </c>
      <c r="P13" s="5" t="s">
        <v>1775</v>
      </c>
      <c r="Q13" s="2" t="b">
        <f t="shared" si="1"/>
        <v>1</v>
      </c>
    </row>
    <row r="14" spans="1:17" s="2" customFormat="1" ht="14.25">
      <c r="A14" s="1688"/>
      <c r="B14" s="1690"/>
      <c r="C14" s="22">
        <v>11</v>
      </c>
      <c r="D14" s="58" t="s">
        <v>1767</v>
      </c>
      <c r="E14" s="483" t="s">
        <v>262</v>
      </c>
      <c r="F14" s="107" t="s">
        <v>496</v>
      </c>
      <c r="G14" s="1694"/>
      <c r="H14" s="1692"/>
      <c r="I14" s="45">
        <v>0</v>
      </c>
      <c r="J14" s="45">
        <v>0</v>
      </c>
      <c r="K14" s="290">
        <f t="shared" si="0"/>
        <v>0</v>
      </c>
      <c r="L14" s="1543"/>
      <c r="M14" s="1694"/>
      <c r="N14" s="1530"/>
      <c r="O14" s="1630"/>
      <c r="P14" s="5" t="s">
        <v>1776</v>
      </c>
      <c r="Q14" s="2" t="b">
        <f t="shared" si="1"/>
        <v>1</v>
      </c>
    </row>
    <row r="15" spans="1:17" s="2" customFormat="1" ht="14.25">
      <c r="A15" s="1688"/>
      <c r="B15" s="1690"/>
      <c r="C15" s="22">
        <v>12</v>
      </c>
      <c r="D15" s="58" t="s">
        <v>1768</v>
      </c>
      <c r="E15" s="483" t="s">
        <v>262</v>
      </c>
      <c r="F15" s="107" t="s">
        <v>496</v>
      </c>
      <c r="G15" s="1694"/>
      <c r="H15" s="1692"/>
      <c r="I15" s="45">
        <v>0</v>
      </c>
      <c r="J15" s="45">
        <v>0</v>
      </c>
      <c r="K15" s="290">
        <f t="shared" si="0"/>
        <v>0</v>
      </c>
      <c r="L15" s="1543"/>
      <c r="M15" s="1694"/>
      <c r="N15" s="1530"/>
      <c r="O15" s="1630"/>
      <c r="P15" s="5" t="s">
        <v>1777</v>
      </c>
      <c r="Q15" s="2" t="b">
        <f t="shared" si="1"/>
        <v>1</v>
      </c>
    </row>
    <row r="16" spans="1:17" s="2" customFormat="1" ht="14.25">
      <c r="A16" s="1688"/>
      <c r="B16" s="1690"/>
      <c r="C16" s="22">
        <v>13</v>
      </c>
      <c r="D16" s="58" t="s">
        <v>1769</v>
      </c>
      <c r="E16" s="483" t="s">
        <v>262</v>
      </c>
      <c r="F16" s="107" t="s">
        <v>496</v>
      </c>
      <c r="G16" s="1694"/>
      <c r="H16" s="1692"/>
      <c r="I16" s="45">
        <v>0</v>
      </c>
      <c r="J16" s="45">
        <v>0</v>
      </c>
      <c r="K16" s="290">
        <f t="shared" si="0"/>
        <v>0</v>
      </c>
      <c r="L16" s="1543"/>
      <c r="M16" s="1694"/>
      <c r="N16" s="1530"/>
      <c r="O16" s="1630"/>
      <c r="P16" s="5" t="s">
        <v>1778</v>
      </c>
      <c r="Q16" s="2" t="b">
        <f t="shared" si="1"/>
        <v>1</v>
      </c>
    </row>
    <row r="17" spans="1:17" s="2" customFormat="1" ht="14.25">
      <c r="A17" s="1688"/>
      <c r="B17" s="1690"/>
      <c r="C17" s="22">
        <v>14</v>
      </c>
      <c r="D17" s="58" t="s">
        <v>1770</v>
      </c>
      <c r="E17" s="483" t="s">
        <v>262</v>
      </c>
      <c r="F17" s="107" t="s">
        <v>496</v>
      </c>
      <c r="G17" s="1694"/>
      <c r="H17" s="1692"/>
      <c r="I17" s="45">
        <v>0</v>
      </c>
      <c r="J17" s="45">
        <v>0</v>
      </c>
      <c r="K17" s="290">
        <f t="shared" si="0"/>
        <v>0</v>
      </c>
      <c r="L17" s="1543"/>
      <c r="M17" s="1694"/>
      <c r="N17" s="1530"/>
      <c r="O17" s="1630"/>
      <c r="P17" s="5" t="s">
        <v>1779</v>
      </c>
      <c r="Q17" s="2" t="b">
        <f t="shared" si="1"/>
        <v>1</v>
      </c>
    </row>
    <row r="18" spans="1:17" s="2" customFormat="1" ht="14.25">
      <c r="A18" s="1689"/>
      <c r="B18" s="1691"/>
      <c r="C18" s="22">
        <v>15</v>
      </c>
      <c r="D18" s="58" t="s">
        <v>1771</v>
      </c>
      <c r="E18" s="483" t="s">
        <v>262</v>
      </c>
      <c r="F18" s="108" t="s">
        <v>496</v>
      </c>
      <c r="G18" s="1694"/>
      <c r="H18" s="1692"/>
      <c r="I18" s="45">
        <v>0</v>
      </c>
      <c r="J18" s="45">
        <v>0</v>
      </c>
      <c r="K18" s="290">
        <f t="shared" si="0"/>
        <v>0</v>
      </c>
      <c r="L18" s="1543"/>
      <c r="M18" s="1694"/>
      <c r="N18" s="1530"/>
      <c r="O18" s="1630"/>
      <c r="P18" s="5" t="s">
        <v>1780</v>
      </c>
      <c r="Q18" s="2" t="b">
        <f t="shared" si="1"/>
        <v>1</v>
      </c>
    </row>
    <row r="19" spans="1:17" s="2" customFormat="1" ht="15" thickBot="1">
      <c r="A19" s="92" t="s">
        <v>475</v>
      </c>
      <c r="B19" s="92" t="s">
        <v>1772</v>
      </c>
      <c r="C19" s="141">
        <v>16</v>
      </c>
      <c r="D19" s="72" t="s">
        <v>253</v>
      </c>
      <c r="E19" s="484" t="s">
        <v>262</v>
      </c>
      <c r="F19" s="109" t="s">
        <v>496</v>
      </c>
      <c r="G19" s="1694"/>
      <c r="H19" s="1693"/>
      <c r="I19" s="45" t="s">
        <v>1482</v>
      </c>
      <c r="J19" s="45" t="s">
        <v>1482</v>
      </c>
      <c r="K19" s="290">
        <f t="shared" si="0"/>
        <v>0</v>
      </c>
      <c r="L19" s="1547"/>
      <c r="M19" s="1695"/>
      <c r="N19" s="1531"/>
      <c r="O19" s="1631"/>
      <c r="P19" s="140" t="s">
        <v>581</v>
      </c>
      <c r="Q19" s="2" t="b">
        <f t="shared" si="1"/>
        <v>1</v>
      </c>
    </row>
    <row r="20" spans="1:17" s="4" customFormat="1" ht="14.25">
      <c r="A20" s="13"/>
      <c r="B20" s="13"/>
      <c r="C20" s="818"/>
      <c r="D20" s="566" t="s">
        <v>280</v>
      </c>
      <c r="E20" s="819"/>
      <c r="F20" s="13"/>
      <c r="G20" s="12"/>
      <c r="H20" s="743">
        <v>90</v>
      </c>
      <c r="I20" s="70"/>
      <c r="J20" s="70"/>
      <c r="K20" s="70"/>
      <c r="L20" s="749">
        <f>SUM(L4:L19)</f>
        <v>90</v>
      </c>
      <c r="M20" s="749">
        <v>88</v>
      </c>
      <c r="N20" s="71">
        <f>SUM(N4:N19)</f>
        <v>2</v>
      </c>
      <c r="O20" s="749">
        <f>SUM(O4:O19)</f>
        <v>0</v>
      </c>
    </row>
    <row r="21" spans="1:17" s="2" customFormat="1" ht="14.25">
      <c r="D21" s="549" t="s">
        <v>1915</v>
      </c>
      <c r="H21" s="743">
        <v>90</v>
      </c>
      <c r="L21" s="751">
        <v>90</v>
      </c>
      <c r="M21" s="751">
        <v>88</v>
      </c>
    </row>
    <row r="22" spans="1:17" s="2" customFormat="1" ht="14.25">
      <c r="D22" s="549" t="s">
        <v>550</v>
      </c>
      <c r="H22" s="136"/>
      <c r="L22" s="751">
        <v>0</v>
      </c>
      <c r="M22" s="751">
        <v>0</v>
      </c>
    </row>
    <row r="23" spans="1:17" s="2" customFormat="1" ht="14.25">
      <c r="D23" s="549" t="s">
        <v>552</v>
      </c>
      <c r="H23" s="136"/>
      <c r="L23" s="751">
        <v>0</v>
      </c>
      <c r="M23" s="751">
        <v>0</v>
      </c>
    </row>
    <row r="24" spans="1:17" s="2" customFormat="1" ht="14.25">
      <c r="D24" s="549" t="s">
        <v>551</v>
      </c>
      <c r="H24" s="136"/>
      <c r="L24" s="751">
        <v>10</v>
      </c>
      <c r="M24" s="751">
        <v>10</v>
      </c>
    </row>
    <row r="25" spans="1:17" s="2" customFormat="1" ht="14.25">
      <c r="D25" s="549" t="s">
        <v>553</v>
      </c>
      <c r="H25" s="136"/>
      <c r="L25" s="751">
        <f>100-L21-L24</f>
        <v>0</v>
      </c>
      <c r="M25" s="751">
        <f>100-M21-M24</f>
        <v>2</v>
      </c>
    </row>
    <row r="30" spans="1:17" s="2" customFormat="1" ht="14.25">
      <c r="D30" s="860" t="s">
        <v>1960</v>
      </c>
      <c r="H30" s="18"/>
    </row>
    <row r="31" spans="1:17" s="2" customFormat="1" ht="14.25">
      <c r="D31" s="893" t="s">
        <v>2008</v>
      </c>
      <c r="H31" s="18"/>
    </row>
    <row r="32" spans="1:17" s="2" customFormat="1" ht="14.25">
      <c r="H32" s="18"/>
    </row>
    <row r="33" spans="8:8" s="2" customFormat="1" ht="14.25">
      <c r="H33" s="18"/>
    </row>
    <row r="34" spans="8:8" s="2" customFormat="1" ht="14.25">
      <c r="H34" s="18"/>
    </row>
    <row r="35" spans="8:8" s="2" customFormat="1" ht="14.25">
      <c r="H35" s="18"/>
    </row>
    <row r="36" spans="8:8" s="2" customFormat="1" ht="14.25">
      <c r="H36" s="18"/>
    </row>
    <row r="37" spans="8:8" s="2" customFormat="1" ht="14.25">
      <c r="H37" s="18"/>
    </row>
    <row r="38" spans="8:8" s="2" customFormat="1" ht="14.25">
      <c r="H38" s="18"/>
    </row>
    <row r="39" spans="8:8" s="2" customFormat="1" ht="14.25">
      <c r="H39" s="18"/>
    </row>
    <row r="40" spans="8:8" s="2" customFormat="1" ht="14.25">
      <c r="H40" s="18"/>
    </row>
    <row r="41" spans="8:8" s="2" customFormat="1" ht="14.25">
      <c r="H41" s="18"/>
    </row>
    <row r="42" spans="8:8" s="2" customFormat="1" ht="14.25">
      <c r="H42" s="18"/>
    </row>
    <row r="43" spans="8:8" s="2" customFormat="1" ht="14.25">
      <c r="H43" s="18"/>
    </row>
    <row r="44" spans="8:8" s="2" customFormat="1" ht="14.25">
      <c r="H44" s="18"/>
    </row>
    <row r="45" spans="8:8" s="2" customFormat="1" ht="14.25">
      <c r="H45" s="18"/>
    </row>
    <row r="46" spans="8:8" s="2" customFormat="1" ht="14.25">
      <c r="H46" s="18"/>
    </row>
    <row r="47" spans="8:8" s="2" customFormat="1" ht="14.25">
      <c r="H47" s="18"/>
    </row>
    <row r="48" spans="8:8" s="2" customFormat="1" ht="14.25">
      <c r="H48" s="18"/>
    </row>
    <row r="49" spans="8:8" s="2" customFormat="1" ht="14.25">
      <c r="H49" s="18"/>
    </row>
    <row r="50" spans="8:8" s="2" customFormat="1" ht="14.25">
      <c r="H50" s="18"/>
    </row>
    <row r="51" spans="8:8" s="2" customFormat="1" ht="14.25">
      <c r="H51" s="18"/>
    </row>
    <row r="52" spans="8:8" s="2" customFormat="1" ht="14.25">
      <c r="H52" s="18"/>
    </row>
    <row r="53" spans="8:8" s="2" customFormat="1" ht="14.25">
      <c r="H53" s="18"/>
    </row>
    <row r="54" spans="8:8" s="2" customFormat="1" ht="14.25">
      <c r="H54" s="18"/>
    </row>
    <row r="55" spans="8:8" s="2" customFormat="1" ht="14.25">
      <c r="H55" s="18"/>
    </row>
    <row r="56" spans="8:8" s="2" customFormat="1" ht="14.25">
      <c r="H56" s="18"/>
    </row>
    <row r="57" spans="8:8" s="2" customFormat="1" ht="14.25">
      <c r="H57" s="18"/>
    </row>
    <row r="58" spans="8:8" s="2" customFormat="1" ht="14.25">
      <c r="H58" s="18"/>
    </row>
    <row r="59" spans="8:8" s="2" customFormat="1" ht="14.25">
      <c r="H59" s="18"/>
    </row>
    <row r="60" spans="8:8" s="2" customFormat="1" ht="14.25">
      <c r="H60" s="18"/>
    </row>
    <row r="61" spans="8:8" s="2" customFormat="1" ht="14.25">
      <c r="H61" s="18"/>
    </row>
    <row r="62" spans="8:8" s="2" customFormat="1" ht="14.25">
      <c r="H62" s="18"/>
    </row>
    <row r="63" spans="8:8" s="2" customFormat="1" ht="14.25">
      <c r="H63" s="18"/>
    </row>
    <row r="64" spans="8:8" s="2" customFormat="1" ht="14.25">
      <c r="H64" s="18"/>
    </row>
    <row r="65" spans="8:8" s="2" customFormat="1" ht="14.25">
      <c r="H65" s="18"/>
    </row>
    <row r="66" spans="8:8" s="2" customFormat="1" ht="14.25">
      <c r="H66" s="18"/>
    </row>
    <row r="67" spans="8:8" s="2" customFormat="1" ht="14.25">
      <c r="H67" s="18"/>
    </row>
    <row r="68" spans="8:8" s="2" customFormat="1" ht="14.25">
      <c r="H68" s="18"/>
    </row>
    <row r="69" spans="8:8" s="2" customFormat="1" ht="14.25">
      <c r="H69" s="18"/>
    </row>
    <row r="70" spans="8:8" s="2" customFormat="1" ht="14.25">
      <c r="H70" s="18"/>
    </row>
    <row r="71" spans="8:8" s="2" customFormat="1" ht="14.25">
      <c r="H71" s="18"/>
    </row>
    <row r="72" spans="8:8" s="2" customFormat="1" ht="14.25">
      <c r="H72" s="18"/>
    </row>
    <row r="73" spans="8:8" s="2" customFormat="1" ht="14.25">
      <c r="H73" s="18"/>
    </row>
    <row r="74" spans="8:8" s="2" customFormat="1" ht="14.25">
      <c r="H74" s="18"/>
    </row>
    <row r="75" spans="8:8" s="2" customFormat="1" ht="14.25">
      <c r="H75" s="18"/>
    </row>
    <row r="76" spans="8:8" s="2" customFormat="1" ht="14.25">
      <c r="H76" s="18"/>
    </row>
    <row r="77" spans="8:8" s="2" customFormat="1" ht="14.25">
      <c r="H77" s="18"/>
    </row>
    <row r="78" spans="8:8" s="2" customFormat="1" ht="14.25">
      <c r="H78" s="18"/>
    </row>
    <row r="79" spans="8:8" s="2" customFormat="1" ht="14.25">
      <c r="H79" s="18"/>
    </row>
    <row r="80" spans="8:8" s="2" customFormat="1" ht="14.25">
      <c r="H80" s="18"/>
    </row>
    <row r="81" spans="8:8" s="2" customFormat="1" ht="14.25">
      <c r="H81" s="18"/>
    </row>
    <row r="82" spans="8:8" s="2" customFormat="1" ht="14.25">
      <c r="H82" s="18"/>
    </row>
    <row r="83" spans="8:8" s="2" customFormat="1" ht="14.25">
      <c r="H83" s="18"/>
    </row>
    <row r="84" spans="8:8" s="2" customFormat="1" ht="14.25">
      <c r="H84" s="18"/>
    </row>
    <row r="85" spans="8:8" s="2" customFormat="1" ht="14.25">
      <c r="H85" s="18"/>
    </row>
    <row r="86" spans="8:8" s="2" customFormat="1" ht="14.25">
      <c r="H86" s="18"/>
    </row>
    <row r="87" spans="8:8" s="2" customFormat="1" ht="14.25">
      <c r="H87" s="18"/>
    </row>
    <row r="88" spans="8:8" s="2" customFormat="1" ht="14.25">
      <c r="H88" s="18"/>
    </row>
    <row r="89" spans="8:8" s="2" customFormat="1" ht="14.25">
      <c r="H89" s="18"/>
    </row>
    <row r="90" spans="8:8" s="2" customFormat="1" ht="14.25">
      <c r="H90" s="18"/>
    </row>
    <row r="91" spans="8:8" s="2" customFormat="1" ht="14.25">
      <c r="H91" s="18"/>
    </row>
    <row r="92" spans="8:8" s="2" customFormat="1" ht="14.25">
      <c r="H92" s="18"/>
    </row>
    <row r="93" spans="8:8" s="2" customFormat="1" ht="14.25">
      <c r="H93" s="18"/>
    </row>
    <row r="94" spans="8:8" s="2" customFormat="1" ht="14.25">
      <c r="H94" s="18"/>
    </row>
    <row r="95" spans="8:8" s="2" customFormat="1" ht="14.25">
      <c r="H95" s="18"/>
    </row>
    <row r="96" spans="8:8" s="2" customFormat="1" ht="14.25">
      <c r="H96" s="18"/>
    </row>
    <row r="97" spans="8:8" s="2" customFormat="1" ht="14.25">
      <c r="H97" s="18"/>
    </row>
    <row r="98" spans="8:8" s="2" customFormat="1" ht="14.25">
      <c r="H98" s="18"/>
    </row>
    <row r="99" spans="8:8" s="2" customFormat="1" ht="14.25">
      <c r="H99" s="18"/>
    </row>
    <row r="100" spans="8:8" s="2" customFormat="1" ht="14.25">
      <c r="H100" s="18"/>
    </row>
    <row r="101" spans="8:8" s="2" customFormat="1" ht="14.25">
      <c r="H101" s="18"/>
    </row>
    <row r="102" spans="8:8" s="2" customFormat="1" ht="14.25">
      <c r="H102" s="18"/>
    </row>
    <row r="103" spans="8:8" s="2" customFormat="1" ht="14.25">
      <c r="H103" s="18"/>
    </row>
    <row r="104" spans="8:8" s="2" customFormat="1" ht="14.25">
      <c r="H104" s="18"/>
    </row>
    <row r="105" spans="8:8" s="2" customFormat="1" ht="14.25">
      <c r="H105" s="18"/>
    </row>
    <row r="106" spans="8:8" s="2" customFormat="1" ht="14.25">
      <c r="H106" s="18"/>
    </row>
    <row r="107" spans="8:8" s="2" customFormat="1" ht="14.25">
      <c r="H107" s="18"/>
    </row>
    <row r="108" spans="8:8" s="2" customFormat="1" ht="14.25">
      <c r="H108" s="18"/>
    </row>
    <row r="109" spans="8:8" s="2" customFormat="1" ht="14.25">
      <c r="H109" s="18"/>
    </row>
    <row r="110" spans="8:8" s="2" customFormat="1" ht="14.25">
      <c r="H110" s="18"/>
    </row>
    <row r="111" spans="8:8" s="2" customFormat="1" ht="14.25">
      <c r="H111" s="18"/>
    </row>
    <row r="112" spans="8:8" s="2" customFormat="1" ht="14.25">
      <c r="H112" s="18"/>
    </row>
    <row r="113" spans="8:8" s="2" customFormat="1" ht="14.25">
      <c r="H113" s="18"/>
    </row>
    <row r="114" spans="8:8" s="2" customFormat="1" ht="14.25">
      <c r="H114" s="18"/>
    </row>
    <row r="115" spans="8:8" s="2" customFormat="1" ht="14.25">
      <c r="H115" s="18"/>
    </row>
    <row r="116" spans="8:8" s="2" customFormat="1" ht="14.25">
      <c r="H116" s="18"/>
    </row>
    <row r="117" spans="8:8" s="2" customFormat="1" ht="14.25">
      <c r="H117" s="18"/>
    </row>
    <row r="118" spans="8:8" s="2" customFormat="1" ht="14.25">
      <c r="H118" s="18"/>
    </row>
    <row r="119" spans="8:8" s="2" customFormat="1" ht="14.25">
      <c r="H119" s="18"/>
    </row>
    <row r="120" spans="8:8" s="2" customFormat="1" ht="14.25">
      <c r="H120" s="18"/>
    </row>
    <row r="121" spans="8:8" s="2" customFormat="1" ht="14.25">
      <c r="H121" s="18"/>
    </row>
    <row r="122" spans="8:8" s="2" customFormat="1" ht="14.25">
      <c r="H122" s="18"/>
    </row>
    <row r="123" spans="8:8" s="2" customFormat="1" ht="14.25">
      <c r="H123" s="18"/>
    </row>
    <row r="124" spans="8:8" s="2" customFormat="1" ht="14.25">
      <c r="H124" s="18"/>
    </row>
    <row r="125" spans="8:8" s="2" customFormat="1" ht="14.25">
      <c r="H125" s="18"/>
    </row>
    <row r="126" spans="8:8" s="2" customFormat="1" ht="14.25">
      <c r="H126" s="18"/>
    </row>
    <row r="127" spans="8:8" s="2" customFormat="1" ht="14.25">
      <c r="H127" s="18"/>
    </row>
    <row r="128" spans="8:8" s="2" customFormat="1" ht="14.25">
      <c r="H128" s="18"/>
    </row>
    <row r="129" spans="8:8" s="2" customFormat="1" ht="14.25">
      <c r="H129" s="18"/>
    </row>
    <row r="130" spans="8:8" s="2" customFormat="1" ht="14.25">
      <c r="H130" s="18"/>
    </row>
    <row r="131" spans="8:8" s="2" customFormat="1" ht="14.25">
      <c r="H131" s="18"/>
    </row>
    <row r="132" spans="8:8" s="2" customFormat="1" ht="14.25">
      <c r="H132" s="18"/>
    </row>
    <row r="133" spans="8:8" s="2" customFormat="1" ht="14.25">
      <c r="H133" s="18"/>
    </row>
    <row r="134" spans="8:8" s="2" customFormat="1" ht="14.25">
      <c r="H134" s="18"/>
    </row>
    <row r="135" spans="8:8" s="2" customFormat="1" ht="14.25">
      <c r="H135" s="18"/>
    </row>
    <row r="136" spans="8:8" s="2" customFormat="1" ht="14.25">
      <c r="H136" s="18"/>
    </row>
    <row r="137" spans="8:8" s="2" customFormat="1" ht="14.25">
      <c r="H137" s="18"/>
    </row>
    <row r="138" spans="8:8" s="2" customFormat="1" ht="14.25">
      <c r="H138" s="18"/>
    </row>
    <row r="139" spans="8:8" s="2" customFormat="1" ht="14.25">
      <c r="H139" s="18"/>
    </row>
    <row r="140" spans="8:8" s="2" customFormat="1" ht="14.25">
      <c r="H140" s="18"/>
    </row>
    <row r="141" spans="8:8" s="2" customFormat="1" ht="14.25">
      <c r="H141" s="18"/>
    </row>
    <row r="142" spans="8:8" s="2" customFormat="1" ht="14.25">
      <c r="H142" s="18"/>
    </row>
    <row r="143" spans="8:8" s="2" customFormat="1" ht="14.25">
      <c r="H143" s="18"/>
    </row>
    <row r="144" spans="8:8" s="2" customFormat="1" ht="14.25">
      <c r="H144" s="18"/>
    </row>
    <row r="145" spans="8:8" s="2" customFormat="1" ht="14.25">
      <c r="H145" s="18"/>
    </row>
    <row r="146" spans="8:8" s="2" customFormat="1" ht="14.25">
      <c r="H146" s="18"/>
    </row>
    <row r="147" spans="8:8" s="2" customFormat="1" ht="14.25">
      <c r="H147" s="18"/>
    </row>
    <row r="148" spans="8:8" s="2" customFormat="1" ht="14.25">
      <c r="H148" s="18"/>
    </row>
    <row r="149" spans="8:8" s="2" customFormat="1" ht="14.25">
      <c r="H149" s="18"/>
    </row>
    <row r="150" spans="8:8" s="2" customFormat="1" ht="14.25">
      <c r="H150" s="18"/>
    </row>
    <row r="151" spans="8:8" s="2" customFormat="1" ht="14.25">
      <c r="H151" s="18"/>
    </row>
    <row r="152" spans="8:8" s="2" customFormat="1" ht="14.25">
      <c r="H152" s="18"/>
    </row>
    <row r="153" spans="8:8" s="2" customFormat="1" ht="14.25">
      <c r="H153" s="18"/>
    </row>
    <row r="154" spans="8:8" s="2" customFormat="1" ht="14.25">
      <c r="H154" s="18"/>
    </row>
    <row r="155" spans="8:8" s="2" customFormat="1" ht="14.25">
      <c r="H155" s="18"/>
    </row>
    <row r="156" spans="8:8" s="2" customFormat="1" ht="14.25">
      <c r="H156" s="18"/>
    </row>
    <row r="157" spans="8:8" s="2" customFormat="1" ht="14.25">
      <c r="H157" s="18"/>
    </row>
    <row r="158" spans="8:8" s="2" customFormat="1" ht="14.25">
      <c r="H158" s="18"/>
    </row>
    <row r="159" spans="8:8" s="2" customFormat="1" ht="14.25">
      <c r="H159" s="18"/>
    </row>
    <row r="160" spans="8:8" s="2" customFormat="1" ht="14.25">
      <c r="H160" s="18"/>
    </row>
    <row r="161" spans="8:8" s="2" customFormat="1" ht="14.25">
      <c r="H161" s="18"/>
    </row>
    <row r="162" spans="8:8" s="2" customFormat="1" ht="14.25">
      <c r="H162" s="18"/>
    </row>
    <row r="163" spans="8:8" s="2" customFormat="1" ht="14.25">
      <c r="H163" s="18"/>
    </row>
    <row r="164" spans="8:8" s="2" customFormat="1" ht="14.25">
      <c r="H164" s="18"/>
    </row>
    <row r="165" spans="8:8" s="2" customFormat="1" ht="14.25">
      <c r="H165" s="18"/>
    </row>
    <row r="166" spans="8:8" s="2" customFormat="1" ht="14.25">
      <c r="H166" s="18"/>
    </row>
    <row r="167" spans="8:8" s="2" customFormat="1" ht="14.25">
      <c r="H167" s="18"/>
    </row>
    <row r="168" spans="8:8" s="2" customFormat="1" ht="14.25">
      <c r="H168" s="18"/>
    </row>
    <row r="169" spans="8:8" s="2" customFormat="1" ht="14.25">
      <c r="H169" s="18"/>
    </row>
    <row r="170" spans="8:8" s="2" customFormat="1" ht="14.25">
      <c r="H170" s="18"/>
    </row>
    <row r="171" spans="8:8" s="2" customFormat="1" ht="14.25">
      <c r="H171" s="18"/>
    </row>
    <row r="172" spans="8:8" s="2" customFormat="1" ht="14.25">
      <c r="H172" s="18"/>
    </row>
    <row r="173" spans="8:8" s="2" customFormat="1" ht="14.25">
      <c r="H173" s="18"/>
    </row>
    <row r="174" spans="8:8" s="2" customFormat="1" ht="14.25">
      <c r="H174" s="18"/>
    </row>
    <row r="175" spans="8:8" s="2" customFormat="1" ht="14.25">
      <c r="H175" s="18"/>
    </row>
    <row r="176" spans="8:8" s="2" customFormat="1" ht="14.25">
      <c r="H176" s="18"/>
    </row>
    <row r="177" spans="8:8" s="2" customFormat="1" ht="14.25">
      <c r="H177" s="18"/>
    </row>
    <row r="178" spans="8:8" s="2" customFormat="1" ht="14.25">
      <c r="H178" s="18"/>
    </row>
    <row r="179" spans="8:8" s="2" customFormat="1" ht="14.25">
      <c r="H179" s="18"/>
    </row>
    <row r="180" spans="8:8" s="2" customFormat="1" ht="14.25">
      <c r="H180" s="18"/>
    </row>
    <row r="181" spans="8:8" s="2" customFormat="1" ht="14.25">
      <c r="H181" s="18"/>
    </row>
    <row r="182" spans="8:8" s="2" customFormat="1" ht="14.25">
      <c r="H182" s="18"/>
    </row>
    <row r="183" spans="8:8" s="2" customFormat="1" ht="14.25">
      <c r="H183" s="18"/>
    </row>
    <row r="184" spans="8:8" s="2" customFormat="1" ht="14.25">
      <c r="H184" s="18"/>
    </row>
    <row r="185" spans="8:8" s="2" customFormat="1" ht="14.25">
      <c r="H185" s="18"/>
    </row>
    <row r="186" spans="8:8" s="2" customFormat="1" ht="14.25">
      <c r="H186" s="18"/>
    </row>
    <row r="187" spans="8:8" s="2" customFormat="1" ht="14.25">
      <c r="H187" s="18"/>
    </row>
    <row r="188" spans="8:8" s="2" customFormat="1" ht="14.25">
      <c r="H188" s="18"/>
    </row>
    <row r="189" spans="8:8" s="2" customFormat="1" ht="14.25">
      <c r="H189" s="18"/>
    </row>
    <row r="190" spans="8:8" s="2" customFormat="1" ht="14.25">
      <c r="H190" s="18"/>
    </row>
    <row r="191" spans="8:8" s="2" customFormat="1" ht="14.25">
      <c r="H191" s="18"/>
    </row>
    <row r="192" spans="8:8" s="2" customFormat="1" ht="14.25">
      <c r="H192" s="18"/>
    </row>
    <row r="193" spans="8:8" s="2" customFormat="1" ht="14.25">
      <c r="H193" s="18"/>
    </row>
    <row r="194" spans="8:8" s="2" customFormat="1" ht="14.25">
      <c r="H194" s="18"/>
    </row>
    <row r="195" spans="8:8" s="2" customFormat="1" ht="14.25">
      <c r="H195" s="18"/>
    </row>
    <row r="196" spans="8:8" s="2" customFormat="1" ht="14.25">
      <c r="H196" s="18"/>
    </row>
    <row r="197" spans="8:8" s="2" customFormat="1" ht="14.25">
      <c r="H197" s="18"/>
    </row>
    <row r="198" spans="8:8" s="2" customFormat="1" ht="14.25">
      <c r="H198" s="18"/>
    </row>
    <row r="199" spans="8:8" s="2" customFormat="1" ht="14.25">
      <c r="H199" s="18"/>
    </row>
    <row r="200" spans="8:8" s="2" customFormat="1" ht="14.25">
      <c r="H200" s="18"/>
    </row>
    <row r="201" spans="8:8" s="2" customFormat="1" ht="14.25">
      <c r="H201" s="18"/>
    </row>
    <row r="202" spans="8:8" s="2" customFormat="1" ht="14.25">
      <c r="H202" s="18"/>
    </row>
    <row r="203" spans="8:8" s="2" customFormat="1" ht="14.25">
      <c r="H203" s="18"/>
    </row>
    <row r="204" spans="8:8" s="2" customFormat="1" ht="14.25">
      <c r="H204" s="18"/>
    </row>
    <row r="205" spans="8:8" s="2" customFormat="1" ht="14.25">
      <c r="H205" s="18"/>
    </row>
    <row r="206" spans="8:8" s="2" customFormat="1" ht="14.25">
      <c r="H206" s="18"/>
    </row>
    <row r="207" spans="8:8" s="2" customFormat="1" ht="14.25">
      <c r="H207" s="18"/>
    </row>
    <row r="208" spans="8:8" s="2" customFormat="1" ht="14.25">
      <c r="H208" s="18"/>
    </row>
    <row r="209" spans="8:8" s="2" customFormat="1" ht="14.25">
      <c r="H209" s="18"/>
    </row>
    <row r="210" spans="8:8" s="2" customFormat="1" ht="14.25">
      <c r="H210" s="18"/>
    </row>
    <row r="211" spans="8:8" s="2" customFormat="1" ht="14.25">
      <c r="H211" s="18"/>
    </row>
    <row r="212" spans="8:8" s="2" customFormat="1" ht="14.25">
      <c r="H212" s="18"/>
    </row>
    <row r="213" spans="8:8" s="2" customFormat="1" ht="14.25">
      <c r="H213" s="18"/>
    </row>
    <row r="214" spans="8:8" s="2" customFormat="1" ht="14.25">
      <c r="H214" s="18"/>
    </row>
    <row r="215" spans="8:8" s="2" customFormat="1" ht="14.25">
      <c r="H215" s="18"/>
    </row>
    <row r="216" spans="8:8" s="2" customFormat="1" ht="14.25">
      <c r="H216" s="18"/>
    </row>
    <row r="217" spans="8:8" s="2" customFormat="1" ht="14.25">
      <c r="H217" s="18"/>
    </row>
    <row r="218" spans="8:8" s="2" customFormat="1" ht="14.25">
      <c r="H218" s="18"/>
    </row>
    <row r="219" spans="8:8" s="2" customFormat="1" ht="14.25">
      <c r="H219" s="18"/>
    </row>
    <row r="220" spans="8:8" s="2" customFormat="1" ht="14.25">
      <c r="H220" s="18"/>
    </row>
    <row r="221" spans="8:8" s="2" customFormat="1" ht="14.25">
      <c r="H221" s="18"/>
    </row>
    <row r="222" spans="8:8" s="2" customFormat="1" ht="14.25">
      <c r="H222" s="18"/>
    </row>
    <row r="223" spans="8:8" s="2" customFormat="1" ht="14.25">
      <c r="H223" s="18"/>
    </row>
    <row r="224" spans="8:8" s="2" customFormat="1" ht="14.25">
      <c r="H224" s="18"/>
    </row>
    <row r="225" spans="8:8" s="2" customFormat="1" ht="14.25">
      <c r="H225" s="18"/>
    </row>
    <row r="226" spans="8:8" s="2" customFormat="1" ht="14.25">
      <c r="H226" s="18"/>
    </row>
    <row r="227" spans="8:8" s="2" customFormat="1" ht="14.25">
      <c r="H227" s="18"/>
    </row>
    <row r="228" spans="8:8" s="2" customFormat="1" ht="14.25">
      <c r="H228" s="18"/>
    </row>
    <row r="229" spans="8:8" s="2" customFormat="1" ht="14.25">
      <c r="H229" s="18"/>
    </row>
    <row r="230" spans="8:8" s="2" customFormat="1" ht="14.25">
      <c r="H230" s="18"/>
    </row>
    <row r="231" spans="8:8" s="2" customFormat="1" ht="14.25">
      <c r="H231" s="18"/>
    </row>
    <row r="232" spans="8:8" s="2" customFormat="1" ht="14.25">
      <c r="H232" s="18"/>
    </row>
    <row r="233" spans="8:8" s="2" customFormat="1" ht="14.25">
      <c r="H233" s="18"/>
    </row>
    <row r="234" spans="8:8" s="2" customFormat="1" ht="14.25">
      <c r="H234" s="18"/>
    </row>
    <row r="235" spans="8:8" s="2" customFormat="1" ht="14.25">
      <c r="H235" s="18"/>
    </row>
    <row r="236" spans="8:8" s="2" customFormat="1" ht="14.25">
      <c r="H236" s="18"/>
    </row>
    <row r="237" spans="8:8" s="2" customFormat="1" ht="14.25">
      <c r="H237" s="18"/>
    </row>
    <row r="238" spans="8:8" s="2" customFormat="1" ht="14.25">
      <c r="H238" s="18"/>
    </row>
    <row r="239" spans="8:8" s="2" customFormat="1" ht="14.25">
      <c r="H239" s="18"/>
    </row>
    <row r="240" spans="8:8" s="2" customFormat="1">
      <c r="H240" s="19"/>
    </row>
    <row r="241" spans="8:8" s="2" customFormat="1">
      <c r="H241" s="19"/>
    </row>
    <row r="242" spans="8:8" s="2" customFormat="1">
      <c r="H242" s="19"/>
    </row>
    <row r="243" spans="8:8" s="2" customFormat="1">
      <c r="H243" s="19"/>
    </row>
    <row r="244" spans="8:8" s="2" customFormat="1">
      <c r="H244" s="19"/>
    </row>
    <row r="245" spans="8:8" s="2" customFormat="1">
      <c r="H245" s="19"/>
    </row>
    <row r="246" spans="8:8" s="2" customFormat="1">
      <c r="H246" s="19"/>
    </row>
    <row r="247" spans="8:8" s="2" customFormat="1">
      <c r="H247" s="19"/>
    </row>
    <row r="248" spans="8:8" s="2" customFormat="1">
      <c r="H248" s="19"/>
    </row>
    <row r="249" spans="8:8" s="2" customFormat="1">
      <c r="H249" s="19"/>
    </row>
    <row r="250" spans="8:8" s="2" customFormat="1">
      <c r="H250" s="19"/>
    </row>
    <row r="251" spans="8:8" s="2" customFormat="1">
      <c r="H251" s="19"/>
    </row>
  </sheetData>
  <mergeCells count="20">
    <mergeCell ref="M4:M9"/>
    <mergeCell ref="M10:M12"/>
    <mergeCell ref="M13:M19"/>
    <mergeCell ref="L4:L9"/>
    <mergeCell ref="L10:L12"/>
    <mergeCell ref="L13:L19"/>
    <mergeCell ref="A4:A18"/>
    <mergeCell ref="B4:B18"/>
    <mergeCell ref="H13:H19"/>
    <mergeCell ref="H4:H9"/>
    <mergeCell ref="H10:H12"/>
    <mergeCell ref="G4:G9"/>
    <mergeCell ref="G10:G12"/>
    <mergeCell ref="G13:G19"/>
    <mergeCell ref="O4:O9"/>
    <mergeCell ref="O10:O12"/>
    <mergeCell ref="O13:O19"/>
    <mergeCell ref="N4:N9"/>
    <mergeCell ref="N10:N12"/>
    <mergeCell ref="N13:N19"/>
  </mergeCells>
  <phoneticPr fontId="3" type="noConversion"/>
  <conditionalFormatting sqref="K4:K19">
    <cfRule type="cellIs" dxfId="67" priority="39" stopIfTrue="1" operator="lessThanOrEqual">
      <formula>-0.3</formula>
    </cfRule>
    <cfRule type="cellIs" dxfId="66" priority="40" stopIfTrue="1" operator="greaterThanOrEqual">
      <formula>0.3</formula>
    </cfRule>
  </conditionalFormatting>
  <conditionalFormatting sqref="O4:O9">
    <cfRule type="expression" dxfId="65" priority="14">
      <formula>O4&lt;&gt;0</formula>
    </cfRule>
  </conditionalFormatting>
  <conditionalFormatting sqref="N4:N19">
    <cfRule type="expression" dxfId="64" priority="13">
      <formula>N4&lt;0</formula>
    </cfRule>
  </conditionalFormatting>
  <conditionalFormatting sqref="N4:N19">
    <cfRule type="cellIs" dxfId="63" priority="11" stopIfTrue="1" operator="lessThan">
      <formula>0</formula>
    </cfRule>
    <cfRule type="cellIs" dxfId="62" priority="12" operator="greaterThan">
      <formula>0</formula>
    </cfRule>
  </conditionalFormatting>
  <hyperlinks>
    <hyperlink ref="D30" location="权重!A1" display="权重!A1"/>
    <hyperlink ref="D31" location="目录!A1" display="目录!A1"/>
  </hyperlink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sheetPr>
    <tabColor theme="7"/>
  </sheetPr>
  <dimension ref="A1:P146"/>
  <sheetViews>
    <sheetView workbookViewId="0">
      <pane xSplit="2" ySplit="2" topLeftCell="C120" activePane="bottomRight" state="frozen"/>
      <selection activeCell="A3" sqref="A3:B3"/>
      <selection pane="topRight" activeCell="A3" sqref="A3:B3"/>
      <selection pane="bottomLeft" activeCell="A3" sqref="A3:B3"/>
      <selection pane="bottomRight" activeCell="D143" sqref="D143"/>
    </sheetView>
  </sheetViews>
  <sheetFormatPr defaultColWidth="8.875" defaultRowHeight="12"/>
  <cols>
    <col min="1" max="1" width="12.625" style="169" customWidth="1"/>
    <col min="2" max="2" width="13.5" style="184" customWidth="1"/>
    <col min="3" max="3" width="18.875" style="185" customWidth="1"/>
    <col min="4" max="4" width="39" style="186" customWidth="1"/>
    <col min="5" max="5" width="5.75" style="169" bestFit="1" customWidth="1"/>
    <col min="6" max="6" width="6.25" style="169" bestFit="1" customWidth="1"/>
    <col min="7" max="7" width="7.875" style="169" customWidth="1"/>
    <col min="8" max="8" width="6.5" style="169" customWidth="1"/>
    <col min="9" max="10" width="6.125" style="169" customWidth="1"/>
    <col min="11" max="11" width="6.75" style="169" customWidth="1"/>
    <col min="12" max="13" width="8.5" style="237" bestFit="1" customWidth="1"/>
    <col min="14" max="14" width="8.125" style="169" customWidth="1"/>
    <col min="15" max="15" width="5.25" style="169" bestFit="1" customWidth="1"/>
    <col min="16" max="17" width="12.375" style="169" customWidth="1"/>
    <col min="18" max="16384" width="8.875" style="169"/>
  </cols>
  <sheetData>
    <row r="1" spans="1:16" ht="24.75" customHeight="1">
      <c r="A1" s="986" t="s">
        <v>742</v>
      </c>
      <c r="B1" s="987"/>
      <c r="C1" s="987"/>
      <c r="D1" s="987"/>
      <c r="E1" s="987"/>
      <c r="F1" s="987"/>
      <c r="G1" s="415"/>
    </row>
    <row r="2" spans="1:16" s="170" customFormat="1" ht="27">
      <c r="A2" s="233" t="s">
        <v>500</v>
      </c>
      <c r="B2" s="234" t="s">
        <v>743</v>
      </c>
      <c r="C2" s="235" t="s">
        <v>744</v>
      </c>
      <c r="D2" s="233" t="s">
        <v>745</v>
      </c>
      <c r="E2" s="235" t="s">
        <v>584</v>
      </c>
      <c r="F2" s="233" t="s">
        <v>1708</v>
      </c>
      <c r="G2" s="234" t="s">
        <v>1711</v>
      </c>
      <c r="H2" s="233"/>
      <c r="I2" s="233" t="s">
        <v>1812</v>
      </c>
      <c r="J2" s="234" t="s">
        <v>2022</v>
      </c>
      <c r="K2" s="233"/>
      <c r="L2" s="233" t="s">
        <v>2023</v>
      </c>
      <c r="M2" s="233" t="s">
        <v>2024</v>
      </c>
      <c r="N2" s="233" t="s">
        <v>1658</v>
      </c>
      <c r="O2" s="233" t="s">
        <v>1657</v>
      </c>
    </row>
    <row r="3" spans="1:16" s="170" customFormat="1" ht="16.5" customHeight="1">
      <c r="A3" s="1696" t="s">
        <v>746</v>
      </c>
      <c r="B3" s="1697" t="s">
        <v>747</v>
      </c>
      <c r="C3" s="171" t="s">
        <v>748</v>
      </c>
      <c r="D3" s="173" t="s">
        <v>749</v>
      </c>
      <c r="E3" s="172">
        <v>5</v>
      </c>
      <c r="F3" s="172">
        <v>5</v>
      </c>
      <c r="G3" s="172">
        <f t="shared" ref="G3:G25" si="0">F3*0.15</f>
        <v>0.75</v>
      </c>
      <c r="H3" s="172"/>
      <c r="I3" s="172">
        <v>5</v>
      </c>
      <c r="J3" s="172">
        <f t="shared" ref="J3:J25" si="1">I3*0.15</f>
        <v>0.75</v>
      </c>
      <c r="K3" s="172"/>
      <c r="L3" s="512">
        <f t="shared" ref="L3:L34" si="2">I3-F3</f>
        <v>0</v>
      </c>
      <c r="M3" s="512">
        <f t="shared" ref="M3:M34" si="3">E3-I3</f>
        <v>0</v>
      </c>
      <c r="N3" s="172">
        <v>0.75</v>
      </c>
      <c r="O3" s="409">
        <v>1</v>
      </c>
      <c r="P3" s="988"/>
    </row>
    <row r="4" spans="1:16" s="170" customFormat="1" ht="14.25">
      <c r="A4" s="1696"/>
      <c r="B4" s="1697"/>
      <c r="C4" s="171" t="s">
        <v>750</v>
      </c>
      <c r="D4" s="174" t="s">
        <v>751</v>
      </c>
      <c r="E4" s="172">
        <v>5</v>
      </c>
      <c r="F4" s="172">
        <v>5</v>
      </c>
      <c r="G4" s="172">
        <f t="shared" si="0"/>
        <v>0.75</v>
      </c>
      <c r="H4" s="172"/>
      <c r="I4" s="172">
        <v>5</v>
      </c>
      <c r="J4" s="172">
        <f t="shared" si="1"/>
        <v>0.75</v>
      </c>
      <c r="K4" s="172"/>
      <c r="L4" s="512">
        <f t="shared" si="2"/>
        <v>0</v>
      </c>
      <c r="M4" s="512">
        <f t="shared" si="3"/>
        <v>0</v>
      </c>
      <c r="N4" s="172">
        <v>0.75</v>
      </c>
      <c r="O4" s="409">
        <v>1</v>
      </c>
      <c r="P4" s="988"/>
    </row>
    <row r="5" spans="1:16" s="170" customFormat="1" ht="27">
      <c r="A5" s="1696"/>
      <c r="B5" s="1697" t="s">
        <v>752</v>
      </c>
      <c r="C5" s="985" t="s">
        <v>753</v>
      </c>
      <c r="D5" s="173" t="s">
        <v>754</v>
      </c>
      <c r="E5" s="172">
        <v>8</v>
      </c>
      <c r="F5" s="172">
        <v>8</v>
      </c>
      <c r="G5" s="172">
        <f t="shared" si="0"/>
        <v>1.2</v>
      </c>
      <c r="H5" s="172"/>
      <c r="I5" s="172">
        <v>8</v>
      </c>
      <c r="J5" s="172">
        <f t="shared" si="1"/>
        <v>1.2</v>
      </c>
      <c r="K5" s="172"/>
      <c r="L5" s="512">
        <f t="shared" si="2"/>
        <v>0</v>
      </c>
      <c r="M5" s="512">
        <f t="shared" si="3"/>
        <v>0</v>
      </c>
      <c r="N5" s="172">
        <v>1.2</v>
      </c>
      <c r="O5" s="409">
        <v>1</v>
      </c>
      <c r="P5" s="988"/>
    </row>
    <row r="6" spans="1:16" s="170" customFormat="1" ht="27">
      <c r="A6" s="1696"/>
      <c r="B6" s="1697"/>
      <c r="C6" s="985" t="s">
        <v>755</v>
      </c>
      <c r="D6" s="173" t="s">
        <v>756</v>
      </c>
      <c r="E6" s="172">
        <v>8</v>
      </c>
      <c r="F6" s="172">
        <v>8</v>
      </c>
      <c r="G6" s="172">
        <f t="shared" si="0"/>
        <v>1.2</v>
      </c>
      <c r="H6" s="172"/>
      <c r="I6" s="172">
        <v>8</v>
      </c>
      <c r="J6" s="172">
        <f t="shared" si="1"/>
        <v>1.2</v>
      </c>
      <c r="K6" s="172"/>
      <c r="L6" s="512">
        <f t="shared" si="2"/>
        <v>0</v>
      </c>
      <c r="M6" s="512">
        <f t="shared" si="3"/>
        <v>0</v>
      </c>
      <c r="N6" s="172">
        <v>1.2</v>
      </c>
      <c r="O6" s="409">
        <v>1</v>
      </c>
      <c r="P6" s="988"/>
    </row>
    <row r="7" spans="1:16" s="170" customFormat="1" ht="14.25">
      <c r="A7" s="1696"/>
      <c r="B7" s="1697"/>
      <c r="C7" s="985" t="s">
        <v>757</v>
      </c>
      <c r="D7" s="439" t="s">
        <v>758</v>
      </c>
      <c r="E7" s="172">
        <v>8</v>
      </c>
      <c r="F7" s="445">
        <v>0</v>
      </c>
      <c r="G7" s="172">
        <f t="shared" si="0"/>
        <v>0</v>
      </c>
      <c r="H7" s="172"/>
      <c r="I7" s="445">
        <v>0</v>
      </c>
      <c r="J7" s="172">
        <f t="shared" si="1"/>
        <v>0</v>
      </c>
      <c r="K7" s="172"/>
      <c r="L7" s="512">
        <f t="shared" si="2"/>
        <v>0</v>
      </c>
      <c r="M7" s="512">
        <f t="shared" si="3"/>
        <v>8</v>
      </c>
      <c r="N7" s="172">
        <v>1.2</v>
      </c>
      <c r="O7" s="410">
        <v>0</v>
      </c>
      <c r="P7" s="988"/>
    </row>
    <row r="8" spans="1:16" s="170" customFormat="1" ht="27">
      <c r="A8" s="1696"/>
      <c r="B8" s="1697"/>
      <c r="C8" s="985" t="s">
        <v>759</v>
      </c>
      <c r="D8" s="173" t="s">
        <v>760</v>
      </c>
      <c r="E8" s="172">
        <v>8</v>
      </c>
      <c r="F8" s="172">
        <v>8</v>
      </c>
      <c r="G8" s="172">
        <f t="shared" si="0"/>
        <v>1.2</v>
      </c>
      <c r="H8" s="172"/>
      <c r="I8" s="172">
        <v>8</v>
      </c>
      <c r="J8" s="172">
        <f t="shared" si="1"/>
        <v>1.2</v>
      </c>
      <c r="K8" s="172"/>
      <c r="L8" s="512">
        <f t="shared" si="2"/>
        <v>0</v>
      </c>
      <c r="M8" s="512">
        <f t="shared" si="3"/>
        <v>0</v>
      </c>
      <c r="N8" s="172">
        <v>1.2</v>
      </c>
      <c r="O8" s="409">
        <v>1</v>
      </c>
      <c r="P8" s="988"/>
    </row>
    <row r="9" spans="1:16" s="170" customFormat="1" ht="14.25">
      <c r="A9" s="1696"/>
      <c r="B9" s="1697"/>
      <c r="C9" s="985" t="s">
        <v>761</v>
      </c>
      <c r="D9" s="174" t="s">
        <v>762</v>
      </c>
      <c r="E9" s="172">
        <v>8</v>
      </c>
      <c r="F9" s="172">
        <v>8</v>
      </c>
      <c r="G9" s="172">
        <f t="shared" si="0"/>
        <v>1.2</v>
      </c>
      <c r="H9" s="172"/>
      <c r="I9" s="172">
        <v>8</v>
      </c>
      <c r="J9" s="172">
        <f t="shared" si="1"/>
        <v>1.2</v>
      </c>
      <c r="K9" s="172"/>
      <c r="L9" s="512">
        <f t="shared" si="2"/>
        <v>0</v>
      </c>
      <c r="M9" s="512">
        <f t="shared" si="3"/>
        <v>0</v>
      </c>
      <c r="N9" s="172">
        <v>1.2</v>
      </c>
      <c r="O9" s="409">
        <v>1</v>
      </c>
      <c r="P9" s="988"/>
    </row>
    <row r="10" spans="1:16" s="170" customFormat="1" ht="27">
      <c r="A10" s="1696"/>
      <c r="B10" s="1697" t="s">
        <v>763</v>
      </c>
      <c r="C10" s="985" t="s">
        <v>764</v>
      </c>
      <c r="D10" s="173" t="s">
        <v>765</v>
      </c>
      <c r="E10" s="172">
        <v>10</v>
      </c>
      <c r="F10" s="172">
        <v>10</v>
      </c>
      <c r="G10" s="172">
        <f t="shared" si="0"/>
        <v>1.5</v>
      </c>
      <c r="H10" s="172"/>
      <c r="I10" s="172">
        <v>10</v>
      </c>
      <c r="J10" s="172">
        <f t="shared" si="1"/>
        <v>1.5</v>
      </c>
      <c r="K10" s="172"/>
      <c r="L10" s="512">
        <f t="shared" si="2"/>
        <v>0</v>
      </c>
      <c r="M10" s="512">
        <f t="shared" si="3"/>
        <v>0</v>
      </c>
      <c r="N10" s="172">
        <v>1.5</v>
      </c>
      <c r="O10" s="409">
        <v>1</v>
      </c>
      <c r="P10" s="988"/>
    </row>
    <row r="11" spans="1:16" s="170" customFormat="1" ht="14.25">
      <c r="A11" s="1696"/>
      <c r="B11" s="1697"/>
      <c r="C11" s="985" t="s">
        <v>766</v>
      </c>
      <c r="D11" s="173" t="s">
        <v>767</v>
      </c>
      <c r="E11" s="172">
        <v>10</v>
      </c>
      <c r="F11" s="172">
        <v>10</v>
      </c>
      <c r="G11" s="172">
        <f t="shared" si="0"/>
        <v>1.5</v>
      </c>
      <c r="H11" s="172"/>
      <c r="I11" s="172">
        <v>10</v>
      </c>
      <c r="J11" s="172">
        <f t="shared" si="1"/>
        <v>1.5</v>
      </c>
      <c r="K11" s="172"/>
      <c r="L11" s="512">
        <f t="shared" si="2"/>
        <v>0</v>
      </c>
      <c r="M11" s="512">
        <f t="shared" si="3"/>
        <v>0</v>
      </c>
      <c r="N11" s="172">
        <v>1.5</v>
      </c>
      <c r="O11" s="409">
        <v>1</v>
      </c>
      <c r="P11" s="988"/>
    </row>
    <row r="12" spans="1:16" s="170" customFormat="1" ht="27">
      <c r="A12" s="1696"/>
      <c r="B12" s="1697"/>
      <c r="C12" s="985" t="s">
        <v>768</v>
      </c>
      <c r="D12" s="173" t="s">
        <v>769</v>
      </c>
      <c r="E12" s="172">
        <v>10</v>
      </c>
      <c r="F12" s="172">
        <v>10</v>
      </c>
      <c r="G12" s="172">
        <f t="shared" si="0"/>
        <v>1.5</v>
      </c>
      <c r="H12" s="172"/>
      <c r="I12" s="172">
        <v>10</v>
      </c>
      <c r="J12" s="172">
        <f t="shared" si="1"/>
        <v>1.5</v>
      </c>
      <c r="K12" s="172"/>
      <c r="L12" s="512">
        <f t="shared" si="2"/>
        <v>0</v>
      </c>
      <c r="M12" s="512">
        <f t="shared" si="3"/>
        <v>0</v>
      </c>
      <c r="N12" s="172">
        <v>1.5</v>
      </c>
      <c r="O12" s="409">
        <v>1</v>
      </c>
      <c r="P12" s="988"/>
    </row>
    <row r="13" spans="1:16" s="170" customFormat="1" ht="54">
      <c r="A13" s="1696"/>
      <c r="B13" s="1697"/>
      <c r="C13" s="985" t="s">
        <v>770</v>
      </c>
      <c r="D13" s="439" t="s">
        <v>771</v>
      </c>
      <c r="E13" s="172">
        <v>10</v>
      </c>
      <c r="F13" s="445">
        <v>0</v>
      </c>
      <c r="G13" s="172">
        <f t="shared" si="0"/>
        <v>0</v>
      </c>
      <c r="H13" s="172"/>
      <c r="I13" s="445">
        <v>0</v>
      </c>
      <c r="J13" s="172">
        <f t="shared" si="1"/>
        <v>0</v>
      </c>
      <c r="K13" s="172"/>
      <c r="L13" s="512">
        <f t="shared" si="2"/>
        <v>0</v>
      </c>
      <c r="M13" s="433">
        <f t="shared" si="3"/>
        <v>10</v>
      </c>
      <c r="N13" s="172">
        <v>1.5</v>
      </c>
      <c r="O13" s="410">
        <v>0.5</v>
      </c>
      <c r="P13" s="988"/>
    </row>
    <row r="14" spans="1:16" s="170" customFormat="1" ht="14.25">
      <c r="A14" s="1696"/>
      <c r="B14" s="1697"/>
      <c r="C14" s="175" t="s">
        <v>772</v>
      </c>
      <c r="D14" s="174" t="s">
        <v>773</v>
      </c>
      <c r="E14" s="176">
        <v>10</v>
      </c>
      <c r="F14" s="176">
        <v>10</v>
      </c>
      <c r="G14" s="176">
        <f t="shared" si="0"/>
        <v>1.5</v>
      </c>
      <c r="H14" s="176">
        <f>SUM(F3:F14)*0.15</f>
        <v>12.299999999999999</v>
      </c>
      <c r="I14" s="176">
        <v>10</v>
      </c>
      <c r="J14" s="176">
        <f t="shared" si="1"/>
        <v>1.5</v>
      </c>
      <c r="K14" s="176">
        <f>SUM(I3:I14)*0.15</f>
        <v>12.299999999999999</v>
      </c>
      <c r="L14" s="512">
        <f t="shared" si="2"/>
        <v>0</v>
      </c>
      <c r="M14" s="512">
        <f t="shared" si="3"/>
        <v>0</v>
      </c>
      <c r="N14" s="172">
        <v>1.5</v>
      </c>
      <c r="O14" s="409">
        <v>1</v>
      </c>
      <c r="P14" s="988"/>
    </row>
    <row r="15" spans="1:16" s="170" customFormat="1" ht="13.5" customHeight="1">
      <c r="A15" s="1696" t="s">
        <v>774</v>
      </c>
      <c r="B15" s="177" t="s">
        <v>775</v>
      </c>
      <c r="C15" s="178" t="s">
        <v>776</v>
      </c>
      <c r="D15" s="180" t="s">
        <v>777</v>
      </c>
      <c r="E15" s="179">
        <v>20</v>
      </c>
      <c r="F15" s="179">
        <v>20</v>
      </c>
      <c r="G15" s="179">
        <f t="shared" si="0"/>
        <v>3</v>
      </c>
      <c r="H15" s="179"/>
      <c r="I15" s="179">
        <v>20</v>
      </c>
      <c r="J15" s="179">
        <f t="shared" si="1"/>
        <v>3</v>
      </c>
      <c r="K15" s="179"/>
      <c r="L15" s="512">
        <f t="shared" si="2"/>
        <v>0</v>
      </c>
      <c r="M15" s="512">
        <f t="shared" si="3"/>
        <v>0</v>
      </c>
      <c r="N15" s="172">
        <v>3</v>
      </c>
      <c r="O15" s="409">
        <v>1</v>
      </c>
      <c r="P15" s="988"/>
    </row>
    <row r="16" spans="1:16" s="170" customFormat="1" ht="27">
      <c r="A16" s="1696"/>
      <c r="B16" s="1697" t="s">
        <v>778</v>
      </c>
      <c r="C16" s="985" t="s">
        <v>779</v>
      </c>
      <c r="D16" s="173" t="s">
        <v>1712</v>
      </c>
      <c r="E16" s="172">
        <v>8</v>
      </c>
      <c r="F16" s="172">
        <v>4</v>
      </c>
      <c r="G16" s="172">
        <f t="shared" si="0"/>
        <v>0.6</v>
      </c>
      <c r="H16" s="172"/>
      <c r="I16" s="172">
        <v>4</v>
      </c>
      <c r="J16" s="172">
        <f t="shared" si="1"/>
        <v>0.6</v>
      </c>
      <c r="K16" s="172"/>
      <c r="L16" s="512">
        <f t="shared" si="2"/>
        <v>0</v>
      </c>
      <c r="M16" s="512">
        <f t="shared" si="3"/>
        <v>4</v>
      </c>
      <c r="N16" s="172">
        <v>1.2</v>
      </c>
      <c r="O16" s="410">
        <v>1</v>
      </c>
      <c r="P16" s="988"/>
    </row>
    <row r="17" spans="1:16" s="170" customFormat="1" ht="14.25">
      <c r="A17" s="1696"/>
      <c r="B17" s="1697"/>
      <c r="C17" s="985" t="s">
        <v>780</v>
      </c>
      <c r="D17" s="173" t="s">
        <v>781</v>
      </c>
      <c r="E17" s="172">
        <v>8</v>
      </c>
      <c r="F17" s="172">
        <v>8</v>
      </c>
      <c r="G17" s="172">
        <f t="shared" si="0"/>
        <v>1.2</v>
      </c>
      <c r="H17" s="172"/>
      <c r="I17" s="172">
        <v>8</v>
      </c>
      <c r="J17" s="172">
        <f t="shared" si="1"/>
        <v>1.2</v>
      </c>
      <c r="K17" s="172"/>
      <c r="L17" s="512">
        <f t="shared" si="2"/>
        <v>0</v>
      </c>
      <c r="M17" s="512">
        <f t="shared" si="3"/>
        <v>0</v>
      </c>
      <c r="N17" s="172">
        <v>1.2</v>
      </c>
      <c r="O17" s="409">
        <v>1</v>
      </c>
      <c r="P17" s="988"/>
    </row>
    <row r="18" spans="1:16" s="170" customFormat="1" ht="27">
      <c r="A18" s="1696"/>
      <c r="B18" s="1697"/>
      <c r="C18" s="985" t="s">
        <v>782</v>
      </c>
      <c r="D18" s="173" t="s">
        <v>783</v>
      </c>
      <c r="E18" s="172">
        <v>8</v>
      </c>
      <c r="F18" s="172">
        <v>8</v>
      </c>
      <c r="G18" s="172">
        <f t="shared" si="0"/>
        <v>1.2</v>
      </c>
      <c r="H18" s="172"/>
      <c r="I18" s="172">
        <v>8</v>
      </c>
      <c r="J18" s="172">
        <f t="shared" si="1"/>
        <v>1.2</v>
      </c>
      <c r="K18" s="172"/>
      <c r="L18" s="512">
        <f t="shared" si="2"/>
        <v>0</v>
      </c>
      <c r="M18" s="512">
        <f t="shared" si="3"/>
        <v>0</v>
      </c>
      <c r="N18" s="172">
        <v>1.2</v>
      </c>
      <c r="O18" s="409">
        <v>1</v>
      </c>
      <c r="P18" s="988"/>
    </row>
    <row r="19" spans="1:16" s="170" customFormat="1" ht="27">
      <c r="A19" s="1696"/>
      <c r="B19" s="1697"/>
      <c r="C19" s="985" t="s">
        <v>784</v>
      </c>
      <c r="D19" s="173" t="s">
        <v>785</v>
      </c>
      <c r="E19" s="172">
        <v>8</v>
      </c>
      <c r="F19" s="172">
        <v>8</v>
      </c>
      <c r="G19" s="172">
        <f t="shared" si="0"/>
        <v>1.2</v>
      </c>
      <c r="H19" s="172"/>
      <c r="I19" s="172">
        <v>8</v>
      </c>
      <c r="J19" s="172">
        <f t="shared" si="1"/>
        <v>1.2</v>
      </c>
      <c r="K19" s="172"/>
      <c r="L19" s="512">
        <f t="shared" si="2"/>
        <v>0</v>
      </c>
      <c r="M19" s="512">
        <f t="shared" si="3"/>
        <v>0</v>
      </c>
      <c r="N19" s="172">
        <v>1.2</v>
      </c>
      <c r="O19" s="409">
        <v>1</v>
      </c>
      <c r="P19" s="988"/>
    </row>
    <row r="20" spans="1:16" s="170" customFormat="1" ht="40.5">
      <c r="A20" s="1696"/>
      <c r="B20" s="1697"/>
      <c r="C20" s="985" t="s">
        <v>786</v>
      </c>
      <c r="D20" s="173" t="s">
        <v>787</v>
      </c>
      <c r="E20" s="172">
        <v>8</v>
      </c>
      <c r="F20" s="172">
        <v>8</v>
      </c>
      <c r="G20" s="172">
        <f t="shared" si="0"/>
        <v>1.2</v>
      </c>
      <c r="H20" s="172"/>
      <c r="I20" s="172">
        <v>8</v>
      </c>
      <c r="J20" s="172">
        <f t="shared" si="1"/>
        <v>1.2</v>
      </c>
      <c r="K20" s="172"/>
      <c r="L20" s="512">
        <f t="shared" si="2"/>
        <v>0</v>
      </c>
      <c r="M20" s="512">
        <f t="shared" si="3"/>
        <v>0</v>
      </c>
      <c r="N20" s="172">
        <v>1.2</v>
      </c>
      <c r="O20" s="409">
        <v>1</v>
      </c>
      <c r="P20" s="988"/>
    </row>
    <row r="21" spans="1:16" s="170" customFormat="1" ht="27">
      <c r="A21" s="1696"/>
      <c r="B21" s="1697" t="s">
        <v>788</v>
      </c>
      <c r="C21" s="985" t="s">
        <v>789</v>
      </c>
      <c r="D21" s="173" t="s">
        <v>790</v>
      </c>
      <c r="E21" s="172">
        <v>8</v>
      </c>
      <c r="F21" s="172">
        <v>8</v>
      </c>
      <c r="G21" s="172">
        <f t="shared" si="0"/>
        <v>1.2</v>
      </c>
      <c r="H21" s="172"/>
      <c r="I21" s="172">
        <v>8</v>
      </c>
      <c r="J21" s="172">
        <f t="shared" si="1"/>
        <v>1.2</v>
      </c>
      <c r="K21" s="172"/>
      <c r="L21" s="512">
        <f t="shared" si="2"/>
        <v>0</v>
      </c>
      <c r="M21" s="512">
        <f t="shared" si="3"/>
        <v>0</v>
      </c>
      <c r="N21" s="172">
        <v>1.2</v>
      </c>
      <c r="O21" s="409">
        <v>1</v>
      </c>
      <c r="P21" s="988"/>
    </row>
    <row r="22" spans="1:16" s="170" customFormat="1" ht="27">
      <c r="A22" s="1696"/>
      <c r="B22" s="1697"/>
      <c r="C22" s="171" t="s">
        <v>791</v>
      </c>
      <c r="D22" s="173" t="s">
        <v>792</v>
      </c>
      <c r="E22" s="172">
        <v>8</v>
      </c>
      <c r="F22" s="172">
        <v>8</v>
      </c>
      <c r="G22" s="172">
        <f t="shared" si="0"/>
        <v>1.2</v>
      </c>
      <c r="H22" s="172"/>
      <c r="I22" s="172">
        <v>8</v>
      </c>
      <c r="J22" s="172">
        <f t="shared" si="1"/>
        <v>1.2</v>
      </c>
      <c r="K22" s="172"/>
      <c r="L22" s="512">
        <f t="shared" si="2"/>
        <v>0</v>
      </c>
      <c r="M22" s="512">
        <f t="shared" si="3"/>
        <v>0</v>
      </c>
      <c r="N22" s="172">
        <v>1.2</v>
      </c>
      <c r="O22" s="409">
        <v>1</v>
      </c>
      <c r="P22" s="988"/>
    </row>
    <row r="23" spans="1:16" s="170" customFormat="1" ht="27">
      <c r="A23" s="1696"/>
      <c r="B23" s="1697"/>
      <c r="C23" s="181" t="s">
        <v>793</v>
      </c>
      <c r="D23" s="180" t="s">
        <v>794</v>
      </c>
      <c r="E23" s="172">
        <v>8</v>
      </c>
      <c r="F23" s="172">
        <v>8</v>
      </c>
      <c r="G23" s="172">
        <f t="shared" si="0"/>
        <v>1.2</v>
      </c>
      <c r="H23" s="172"/>
      <c r="I23" s="172">
        <v>8</v>
      </c>
      <c r="J23" s="172">
        <f t="shared" si="1"/>
        <v>1.2</v>
      </c>
      <c r="K23" s="172"/>
      <c r="L23" s="512">
        <f t="shared" si="2"/>
        <v>0</v>
      </c>
      <c r="M23" s="512">
        <f t="shared" si="3"/>
        <v>0</v>
      </c>
      <c r="N23" s="172">
        <v>1.2</v>
      </c>
      <c r="O23" s="409">
        <v>1</v>
      </c>
      <c r="P23" s="988"/>
    </row>
    <row r="24" spans="1:16" s="170" customFormat="1" ht="27">
      <c r="A24" s="1696"/>
      <c r="B24" s="1697"/>
      <c r="C24" s="171" t="s">
        <v>795</v>
      </c>
      <c r="D24" s="173" t="s">
        <v>796</v>
      </c>
      <c r="E24" s="172">
        <v>8</v>
      </c>
      <c r="F24" s="172">
        <v>8</v>
      </c>
      <c r="G24" s="172">
        <f t="shared" si="0"/>
        <v>1.2</v>
      </c>
      <c r="H24" s="172"/>
      <c r="I24" s="172">
        <v>8</v>
      </c>
      <c r="J24" s="172">
        <f t="shared" si="1"/>
        <v>1.2</v>
      </c>
      <c r="K24" s="172"/>
      <c r="L24" s="512">
        <f t="shared" si="2"/>
        <v>0</v>
      </c>
      <c r="M24" s="512">
        <f t="shared" si="3"/>
        <v>0</v>
      </c>
      <c r="N24" s="172">
        <v>1.2</v>
      </c>
      <c r="O24" s="409">
        <v>1</v>
      </c>
      <c r="P24" s="988"/>
    </row>
    <row r="25" spans="1:16" s="170" customFormat="1" ht="27">
      <c r="A25" s="1696"/>
      <c r="B25" s="1697"/>
      <c r="C25" s="171" t="s">
        <v>797</v>
      </c>
      <c r="D25" s="439" t="s">
        <v>798</v>
      </c>
      <c r="E25" s="172">
        <v>8</v>
      </c>
      <c r="F25" s="445">
        <v>0</v>
      </c>
      <c r="G25" s="172">
        <f t="shared" si="0"/>
        <v>0</v>
      </c>
      <c r="H25" s="172">
        <f>SUM(F15:F25)*0.15</f>
        <v>13.2</v>
      </c>
      <c r="I25" s="445">
        <v>0</v>
      </c>
      <c r="J25" s="172">
        <f t="shared" si="1"/>
        <v>0</v>
      </c>
      <c r="K25" s="172">
        <f>SUM(I15:I25)*0.15</f>
        <v>13.2</v>
      </c>
      <c r="L25" s="512">
        <f t="shared" si="2"/>
        <v>0</v>
      </c>
      <c r="M25" s="512">
        <f t="shared" si="3"/>
        <v>8</v>
      </c>
      <c r="N25" s="172">
        <v>1.2</v>
      </c>
      <c r="O25" s="409">
        <v>1</v>
      </c>
      <c r="P25" s="988"/>
    </row>
    <row r="26" spans="1:16" s="170" customFormat="1" ht="14.25">
      <c r="A26" s="1696" t="s">
        <v>799</v>
      </c>
      <c r="B26" s="1697" t="s">
        <v>800</v>
      </c>
      <c r="C26" s="171" t="s">
        <v>801</v>
      </c>
      <c r="D26" s="173" t="s">
        <v>802</v>
      </c>
      <c r="E26" s="172">
        <v>5</v>
      </c>
      <c r="F26" s="172">
        <v>5</v>
      </c>
      <c r="G26" s="172">
        <f t="shared" ref="G26:G43" si="4">F26*0.2</f>
        <v>1</v>
      </c>
      <c r="H26" s="172"/>
      <c r="I26" s="172">
        <v>5</v>
      </c>
      <c r="J26" s="172">
        <f t="shared" ref="J26:J43" si="5">I26*0.2</f>
        <v>1</v>
      </c>
      <c r="K26" s="172"/>
      <c r="L26" s="512">
        <f t="shared" si="2"/>
        <v>0</v>
      </c>
      <c r="M26" s="512">
        <f t="shared" si="3"/>
        <v>0</v>
      </c>
      <c r="N26" s="172">
        <v>1</v>
      </c>
      <c r="O26" s="409">
        <v>1</v>
      </c>
      <c r="P26" s="988"/>
    </row>
    <row r="27" spans="1:16" s="170" customFormat="1" ht="14.25">
      <c r="A27" s="1696"/>
      <c r="B27" s="1697"/>
      <c r="C27" s="171" t="s">
        <v>803</v>
      </c>
      <c r="D27" s="173" t="s">
        <v>804</v>
      </c>
      <c r="E27" s="172">
        <v>5</v>
      </c>
      <c r="F27" s="172">
        <v>5</v>
      </c>
      <c r="G27" s="172">
        <f t="shared" si="4"/>
        <v>1</v>
      </c>
      <c r="H27" s="172"/>
      <c r="I27" s="172">
        <v>5</v>
      </c>
      <c r="J27" s="172">
        <f t="shared" si="5"/>
        <v>1</v>
      </c>
      <c r="K27" s="172"/>
      <c r="L27" s="512">
        <f t="shared" si="2"/>
        <v>0</v>
      </c>
      <c r="M27" s="512">
        <f t="shared" si="3"/>
        <v>0</v>
      </c>
      <c r="N27" s="172">
        <v>1</v>
      </c>
      <c r="O27" s="409">
        <v>1</v>
      </c>
      <c r="P27" s="988"/>
    </row>
    <row r="28" spans="1:16" s="170" customFormat="1" ht="40.5">
      <c r="A28" s="1696"/>
      <c r="B28" s="1697" t="s">
        <v>805</v>
      </c>
      <c r="C28" s="171" t="s">
        <v>806</v>
      </c>
      <c r="D28" s="173" t="s">
        <v>807</v>
      </c>
      <c r="E28" s="172">
        <v>5</v>
      </c>
      <c r="F28" s="172">
        <v>5</v>
      </c>
      <c r="G28" s="172">
        <f t="shared" si="4"/>
        <v>1</v>
      </c>
      <c r="H28" s="172"/>
      <c r="I28" s="172">
        <v>5</v>
      </c>
      <c r="J28" s="172">
        <f t="shared" si="5"/>
        <v>1</v>
      </c>
      <c r="K28" s="172"/>
      <c r="L28" s="512">
        <f t="shared" si="2"/>
        <v>0</v>
      </c>
      <c r="M28" s="512">
        <f t="shared" si="3"/>
        <v>0</v>
      </c>
      <c r="N28" s="172">
        <v>1</v>
      </c>
      <c r="O28" s="409">
        <v>1</v>
      </c>
      <c r="P28" s="988"/>
    </row>
    <row r="29" spans="1:16" s="170" customFormat="1" ht="27">
      <c r="A29" s="1696"/>
      <c r="B29" s="1697"/>
      <c r="C29" s="171" t="s">
        <v>808</v>
      </c>
      <c r="D29" s="173" t="s">
        <v>809</v>
      </c>
      <c r="E29" s="172">
        <v>5</v>
      </c>
      <c r="F29" s="172">
        <v>5</v>
      </c>
      <c r="G29" s="172">
        <f t="shared" si="4"/>
        <v>1</v>
      </c>
      <c r="H29" s="172"/>
      <c r="I29" s="172">
        <v>5</v>
      </c>
      <c r="J29" s="172">
        <f t="shared" si="5"/>
        <v>1</v>
      </c>
      <c r="K29" s="172"/>
      <c r="L29" s="512">
        <f t="shared" si="2"/>
        <v>0</v>
      </c>
      <c r="M29" s="512">
        <f t="shared" si="3"/>
        <v>0</v>
      </c>
      <c r="N29" s="172">
        <v>1</v>
      </c>
      <c r="O29" s="409">
        <v>1</v>
      </c>
      <c r="P29" s="988"/>
    </row>
    <row r="30" spans="1:16" s="170" customFormat="1" ht="27">
      <c r="A30" s="1696"/>
      <c r="B30" s="1697" t="s">
        <v>810</v>
      </c>
      <c r="C30" s="171" t="s">
        <v>811</v>
      </c>
      <c r="D30" s="173" t="s">
        <v>812</v>
      </c>
      <c r="E30" s="172">
        <v>5</v>
      </c>
      <c r="F30" s="172">
        <v>5</v>
      </c>
      <c r="G30" s="172">
        <f t="shared" si="4"/>
        <v>1</v>
      </c>
      <c r="H30" s="172"/>
      <c r="I30" s="172">
        <v>5</v>
      </c>
      <c r="J30" s="172">
        <f t="shared" si="5"/>
        <v>1</v>
      </c>
      <c r="K30" s="172"/>
      <c r="L30" s="512">
        <f t="shared" si="2"/>
        <v>0</v>
      </c>
      <c r="M30" s="512">
        <f t="shared" si="3"/>
        <v>0</v>
      </c>
      <c r="N30" s="172">
        <v>1</v>
      </c>
      <c r="O30" s="409">
        <v>1</v>
      </c>
      <c r="P30" s="988"/>
    </row>
    <row r="31" spans="1:16" s="170" customFormat="1" ht="27">
      <c r="A31" s="1696"/>
      <c r="B31" s="1697"/>
      <c r="C31" s="171" t="s">
        <v>813</v>
      </c>
      <c r="D31" s="173" t="s">
        <v>814</v>
      </c>
      <c r="E31" s="172">
        <v>5</v>
      </c>
      <c r="F31" s="445">
        <v>2</v>
      </c>
      <c r="G31" s="172">
        <f t="shared" si="4"/>
        <v>0.4</v>
      </c>
      <c r="H31" s="172"/>
      <c r="I31" s="445">
        <v>2</v>
      </c>
      <c r="J31" s="172">
        <f t="shared" si="5"/>
        <v>0.4</v>
      </c>
      <c r="K31" s="172"/>
      <c r="L31" s="512">
        <f t="shared" si="2"/>
        <v>0</v>
      </c>
      <c r="M31" s="512">
        <f t="shared" si="3"/>
        <v>3</v>
      </c>
      <c r="N31" s="172">
        <v>1</v>
      </c>
      <c r="O31" s="411">
        <v>1</v>
      </c>
      <c r="P31" s="988"/>
    </row>
    <row r="32" spans="1:16" s="170" customFormat="1" ht="14.25">
      <c r="A32" s="1696"/>
      <c r="B32" s="1697"/>
      <c r="C32" s="171" t="s">
        <v>815</v>
      </c>
      <c r="D32" s="439" t="s">
        <v>816</v>
      </c>
      <c r="E32" s="172">
        <v>5</v>
      </c>
      <c r="F32" s="172">
        <v>2</v>
      </c>
      <c r="G32" s="172">
        <f t="shared" si="4"/>
        <v>0.4</v>
      </c>
      <c r="H32" s="172"/>
      <c r="I32" s="172">
        <v>2</v>
      </c>
      <c r="J32" s="172">
        <f t="shared" si="5"/>
        <v>0.4</v>
      </c>
      <c r="K32" s="172"/>
      <c r="L32" s="512">
        <f t="shared" si="2"/>
        <v>0</v>
      </c>
      <c r="M32" s="512">
        <f t="shared" si="3"/>
        <v>3</v>
      </c>
      <c r="N32" s="172">
        <v>1</v>
      </c>
      <c r="O32" s="412">
        <v>1</v>
      </c>
      <c r="P32" s="988"/>
    </row>
    <row r="33" spans="1:16" s="170" customFormat="1" ht="40.5">
      <c r="A33" s="1696"/>
      <c r="B33" s="1697" t="s">
        <v>817</v>
      </c>
      <c r="C33" s="171" t="s">
        <v>818</v>
      </c>
      <c r="D33" s="173" t="s">
        <v>819</v>
      </c>
      <c r="E33" s="172">
        <v>10</v>
      </c>
      <c r="F33" s="172">
        <v>10</v>
      </c>
      <c r="G33" s="172">
        <f t="shared" si="4"/>
        <v>2</v>
      </c>
      <c r="H33" s="172"/>
      <c r="I33" s="172">
        <v>10</v>
      </c>
      <c r="J33" s="172">
        <f t="shared" si="5"/>
        <v>2</v>
      </c>
      <c r="K33" s="172"/>
      <c r="L33" s="512">
        <f t="shared" si="2"/>
        <v>0</v>
      </c>
      <c r="M33" s="512">
        <f t="shared" si="3"/>
        <v>0</v>
      </c>
      <c r="N33" s="172">
        <v>2</v>
      </c>
      <c r="O33" s="413">
        <v>1</v>
      </c>
      <c r="P33" s="988"/>
    </row>
    <row r="34" spans="1:16" s="170" customFormat="1" ht="14.25">
      <c r="A34" s="1696"/>
      <c r="B34" s="1697"/>
      <c r="C34" s="171" t="s">
        <v>820</v>
      </c>
      <c r="D34" s="173" t="s">
        <v>821</v>
      </c>
      <c r="E34" s="172">
        <v>5</v>
      </c>
      <c r="F34" s="172">
        <v>5</v>
      </c>
      <c r="G34" s="172">
        <f t="shared" si="4"/>
        <v>1</v>
      </c>
      <c r="H34" s="172"/>
      <c r="I34" s="172">
        <v>5</v>
      </c>
      <c r="J34" s="172">
        <f t="shared" si="5"/>
        <v>1</v>
      </c>
      <c r="K34" s="172"/>
      <c r="L34" s="512">
        <f t="shared" si="2"/>
        <v>0</v>
      </c>
      <c r="M34" s="512">
        <f t="shared" si="3"/>
        <v>0</v>
      </c>
      <c r="N34" s="172">
        <v>1</v>
      </c>
      <c r="O34" s="413">
        <v>1</v>
      </c>
      <c r="P34" s="988"/>
    </row>
    <row r="35" spans="1:16" s="170" customFormat="1" ht="14.25">
      <c r="A35" s="1696"/>
      <c r="B35" s="1697" t="s">
        <v>822</v>
      </c>
      <c r="C35" s="171" t="s">
        <v>823</v>
      </c>
      <c r="D35" s="173" t="s">
        <v>824</v>
      </c>
      <c r="E35" s="172">
        <v>5</v>
      </c>
      <c r="F35" s="172">
        <v>5</v>
      </c>
      <c r="G35" s="172">
        <f t="shared" si="4"/>
        <v>1</v>
      </c>
      <c r="H35" s="172"/>
      <c r="I35" s="172">
        <v>5</v>
      </c>
      <c r="J35" s="172">
        <f t="shared" si="5"/>
        <v>1</v>
      </c>
      <c r="K35" s="172"/>
      <c r="L35" s="512">
        <f t="shared" ref="L35:L66" si="6">I35-F35</f>
        <v>0</v>
      </c>
      <c r="M35" s="512">
        <f t="shared" ref="M35:M66" si="7">E35-I35</f>
        <v>0</v>
      </c>
      <c r="N35" s="172">
        <v>1</v>
      </c>
      <c r="O35" s="413">
        <v>1</v>
      </c>
      <c r="P35" s="988"/>
    </row>
    <row r="36" spans="1:16" s="170" customFormat="1" ht="14.25">
      <c r="A36" s="1696"/>
      <c r="B36" s="1697"/>
      <c r="C36" s="171" t="s">
        <v>825</v>
      </c>
      <c r="D36" s="173" t="s">
        <v>1716</v>
      </c>
      <c r="E36" s="172">
        <v>5</v>
      </c>
      <c r="F36" s="445">
        <v>2</v>
      </c>
      <c r="G36" s="172">
        <f t="shared" si="4"/>
        <v>0.4</v>
      </c>
      <c r="H36" s="172"/>
      <c r="I36" s="445">
        <v>2</v>
      </c>
      <c r="J36" s="172">
        <f t="shared" si="5"/>
        <v>0.4</v>
      </c>
      <c r="K36" s="172"/>
      <c r="L36" s="512">
        <f t="shared" si="6"/>
        <v>0</v>
      </c>
      <c r="M36" s="512">
        <f t="shared" si="7"/>
        <v>3</v>
      </c>
      <c r="N36" s="172">
        <v>1</v>
      </c>
      <c r="O36" s="414">
        <v>1</v>
      </c>
      <c r="P36" s="988"/>
    </row>
    <row r="37" spans="1:16" s="170" customFormat="1" ht="54">
      <c r="A37" s="1696"/>
      <c r="B37" s="1697" t="s">
        <v>826</v>
      </c>
      <c r="C37" s="171" t="s">
        <v>827</v>
      </c>
      <c r="D37" s="173" t="s">
        <v>1717</v>
      </c>
      <c r="E37" s="172">
        <v>10</v>
      </c>
      <c r="F37" s="445">
        <v>7</v>
      </c>
      <c r="G37" s="172">
        <f t="shared" si="4"/>
        <v>1.4000000000000001</v>
      </c>
      <c r="H37" s="172"/>
      <c r="I37" s="445">
        <v>7</v>
      </c>
      <c r="J37" s="172">
        <f t="shared" si="5"/>
        <v>1.4000000000000001</v>
      </c>
      <c r="K37" s="172"/>
      <c r="L37" s="512">
        <f t="shared" si="6"/>
        <v>0</v>
      </c>
      <c r="M37" s="512">
        <f t="shared" si="7"/>
        <v>3</v>
      </c>
      <c r="N37" s="172">
        <v>2</v>
      </c>
      <c r="O37" s="413">
        <v>1</v>
      </c>
      <c r="P37" s="988"/>
    </row>
    <row r="38" spans="1:16" s="170" customFormat="1" ht="14.25">
      <c r="A38" s="1696"/>
      <c r="B38" s="1697"/>
      <c r="C38" s="171" t="s">
        <v>828</v>
      </c>
      <c r="D38" s="173" t="s">
        <v>829</v>
      </c>
      <c r="E38" s="172">
        <v>3</v>
      </c>
      <c r="F38" s="172">
        <v>3</v>
      </c>
      <c r="G38" s="172">
        <f t="shared" si="4"/>
        <v>0.60000000000000009</v>
      </c>
      <c r="H38" s="172"/>
      <c r="I38" s="172">
        <v>3</v>
      </c>
      <c r="J38" s="172">
        <f t="shared" si="5"/>
        <v>0.60000000000000009</v>
      </c>
      <c r="K38" s="172"/>
      <c r="L38" s="512">
        <f t="shared" si="6"/>
        <v>0</v>
      </c>
      <c r="M38" s="512">
        <f t="shared" si="7"/>
        <v>0</v>
      </c>
      <c r="N38" s="172">
        <v>0.60000000000000009</v>
      </c>
      <c r="O38" s="413">
        <v>1</v>
      </c>
      <c r="P38" s="988"/>
    </row>
    <row r="39" spans="1:16" s="170" customFormat="1" ht="27">
      <c r="A39" s="1696"/>
      <c r="B39" s="1697"/>
      <c r="C39" s="171" t="s">
        <v>830</v>
      </c>
      <c r="D39" s="439" t="s">
        <v>831</v>
      </c>
      <c r="E39" s="172">
        <v>2</v>
      </c>
      <c r="F39" s="445">
        <v>0</v>
      </c>
      <c r="G39" s="172">
        <f t="shared" si="4"/>
        <v>0</v>
      </c>
      <c r="H39" s="172"/>
      <c r="I39" s="445">
        <v>0</v>
      </c>
      <c r="J39" s="172">
        <f t="shared" si="5"/>
        <v>0</v>
      </c>
      <c r="K39" s="172"/>
      <c r="L39" s="512">
        <f t="shared" si="6"/>
        <v>0</v>
      </c>
      <c r="M39" s="512">
        <f t="shared" si="7"/>
        <v>2</v>
      </c>
      <c r="N39" s="172">
        <v>0.4</v>
      </c>
      <c r="O39" s="414">
        <v>1</v>
      </c>
      <c r="P39" s="988"/>
    </row>
    <row r="40" spans="1:16" s="170" customFormat="1" ht="40.5">
      <c r="A40" s="1696"/>
      <c r="B40" s="182" t="s">
        <v>832</v>
      </c>
      <c r="C40" s="171" t="s">
        <v>833</v>
      </c>
      <c r="D40" s="173" t="s">
        <v>834</v>
      </c>
      <c r="E40" s="172">
        <v>10</v>
      </c>
      <c r="F40" s="172">
        <v>10</v>
      </c>
      <c r="G40" s="172">
        <f t="shared" si="4"/>
        <v>2</v>
      </c>
      <c r="H40" s="172"/>
      <c r="I40" s="172">
        <v>10</v>
      </c>
      <c r="J40" s="172">
        <f t="shared" si="5"/>
        <v>2</v>
      </c>
      <c r="K40" s="172"/>
      <c r="L40" s="512">
        <f t="shared" si="6"/>
        <v>0</v>
      </c>
      <c r="M40" s="512">
        <f t="shared" si="7"/>
        <v>0</v>
      </c>
      <c r="N40" s="172">
        <v>2</v>
      </c>
      <c r="O40" s="413">
        <v>1</v>
      </c>
      <c r="P40" s="988"/>
    </row>
    <row r="41" spans="1:16" s="170" customFormat="1" ht="27">
      <c r="A41" s="1696"/>
      <c r="B41" s="1697" t="s">
        <v>835</v>
      </c>
      <c r="C41" s="171" t="s">
        <v>836</v>
      </c>
      <c r="D41" s="173" t="s">
        <v>837</v>
      </c>
      <c r="E41" s="172">
        <v>4</v>
      </c>
      <c r="F41" s="172">
        <v>4</v>
      </c>
      <c r="G41" s="172">
        <f t="shared" si="4"/>
        <v>0.8</v>
      </c>
      <c r="H41" s="172"/>
      <c r="I41" s="172">
        <v>4</v>
      </c>
      <c r="J41" s="172">
        <f t="shared" si="5"/>
        <v>0.8</v>
      </c>
      <c r="K41" s="172"/>
      <c r="L41" s="512">
        <f t="shared" si="6"/>
        <v>0</v>
      </c>
      <c r="M41" s="512">
        <f t="shared" si="7"/>
        <v>0</v>
      </c>
      <c r="N41" s="172">
        <v>0.8</v>
      </c>
      <c r="O41" s="413">
        <v>1</v>
      </c>
      <c r="P41" s="988"/>
    </row>
    <row r="42" spans="1:16" s="170" customFormat="1" ht="27">
      <c r="A42" s="1696"/>
      <c r="B42" s="1697"/>
      <c r="C42" s="171" t="s">
        <v>838</v>
      </c>
      <c r="D42" s="173" t="s">
        <v>839</v>
      </c>
      <c r="E42" s="172">
        <v>6</v>
      </c>
      <c r="F42" s="172">
        <v>6</v>
      </c>
      <c r="G42" s="172">
        <f t="shared" si="4"/>
        <v>1.2000000000000002</v>
      </c>
      <c r="H42" s="172"/>
      <c r="I42" s="172">
        <v>6</v>
      </c>
      <c r="J42" s="172">
        <f t="shared" si="5"/>
        <v>1.2000000000000002</v>
      </c>
      <c r="K42" s="172"/>
      <c r="L42" s="512">
        <f t="shared" si="6"/>
        <v>0</v>
      </c>
      <c r="M42" s="512">
        <f t="shared" si="7"/>
        <v>0</v>
      </c>
      <c r="N42" s="172">
        <v>1.2000000000000002</v>
      </c>
      <c r="O42" s="413">
        <v>1</v>
      </c>
      <c r="P42" s="988"/>
    </row>
    <row r="43" spans="1:16" s="170" customFormat="1" ht="27">
      <c r="A43" s="1696"/>
      <c r="B43" s="182" t="s">
        <v>840</v>
      </c>
      <c r="C43" s="171" t="s">
        <v>841</v>
      </c>
      <c r="D43" s="173" t="s">
        <v>842</v>
      </c>
      <c r="E43" s="172">
        <v>5</v>
      </c>
      <c r="F43" s="172">
        <v>5</v>
      </c>
      <c r="G43" s="172">
        <f t="shared" si="4"/>
        <v>1</v>
      </c>
      <c r="H43" s="172">
        <f>SUM(F26:F43)*0.2</f>
        <v>17.2</v>
      </c>
      <c r="I43" s="172">
        <v>5</v>
      </c>
      <c r="J43" s="172">
        <f t="shared" si="5"/>
        <v>1</v>
      </c>
      <c r="K43" s="172">
        <f>SUM(I26:I43)*0.2</f>
        <v>17.2</v>
      </c>
      <c r="L43" s="512">
        <f t="shared" si="6"/>
        <v>0</v>
      </c>
      <c r="M43" s="512">
        <f t="shared" si="7"/>
        <v>0</v>
      </c>
      <c r="N43" s="172">
        <v>1</v>
      </c>
      <c r="O43" s="414">
        <v>1</v>
      </c>
      <c r="P43" s="988"/>
    </row>
    <row r="44" spans="1:16" s="170" customFormat="1" ht="14.25">
      <c r="A44" s="1696" t="s">
        <v>843</v>
      </c>
      <c r="B44" s="1697" t="s">
        <v>844</v>
      </c>
      <c r="C44" s="171" t="s">
        <v>845</v>
      </c>
      <c r="D44" s="173" t="s">
        <v>846</v>
      </c>
      <c r="E44" s="172">
        <v>10</v>
      </c>
      <c r="F44" s="172">
        <v>10</v>
      </c>
      <c r="G44" s="172">
        <f t="shared" ref="G44:G60" si="8">F44*0.1</f>
        <v>1</v>
      </c>
      <c r="H44" s="172"/>
      <c r="I44" s="172">
        <v>10</v>
      </c>
      <c r="J44" s="172">
        <f t="shared" ref="J44:J60" si="9">I44*0.1</f>
        <v>1</v>
      </c>
      <c r="K44" s="172"/>
      <c r="L44" s="512">
        <f t="shared" si="6"/>
        <v>0</v>
      </c>
      <c r="M44" s="512">
        <f t="shared" si="7"/>
        <v>0</v>
      </c>
      <c r="N44" s="172">
        <v>1</v>
      </c>
      <c r="O44" s="413">
        <v>1</v>
      </c>
      <c r="P44" s="988"/>
    </row>
    <row r="45" spans="1:16" s="170" customFormat="1" ht="67.5">
      <c r="A45" s="1696"/>
      <c r="B45" s="1697"/>
      <c r="C45" s="171" t="s">
        <v>847</v>
      </c>
      <c r="D45" s="173" t="s">
        <v>1728</v>
      </c>
      <c r="E45" s="172">
        <v>20</v>
      </c>
      <c r="F45" s="172">
        <v>20</v>
      </c>
      <c r="G45" s="172">
        <f t="shared" si="8"/>
        <v>2</v>
      </c>
      <c r="H45" s="172"/>
      <c r="I45" s="172">
        <v>20</v>
      </c>
      <c r="J45" s="172">
        <f t="shared" si="9"/>
        <v>2</v>
      </c>
      <c r="K45" s="172"/>
      <c r="L45" s="512">
        <f t="shared" si="6"/>
        <v>0</v>
      </c>
      <c r="M45" s="512">
        <f t="shared" si="7"/>
        <v>0</v>
      </c>
      <c r="N45" s="172">
        <v>2</v>
      </c>
      <c r="O45" s="414">
        <v>1</v>
      </c>
      <c r="P45" s="988"/>
    </row>
    <row r="46" spans="1:16" s="170" customFormat="1" ht="27">
      <c r="A46" s="1696"/>
      <c r="B46" s="1697"/>
      <c r="C46" s="171" t="s">
        <v>848</v>
      </c>
      <c r="D46" s="173" t="s">
        <v>1727</v>
      </c>
      <c r="E46" s="172">
        <v>15</v>
      </c>
      <c r="F46" s="172">
        <v>15</v>
      </c>
      <c r="G46" s="172">
        <f t="shared" si="8"/>
        <v>1.5</v>
      </c>
      <c r="H46" s="172"/>
      <c r="I46" s="172">
        <v>15</v>
      </c>
      <c r="J46" s="172">
        <f t="shared" si="9"/>
        <v>1.5</v>
      </c>
      <c r="K46" s="172"/>
      <c r="L46" s="512">
        <f t="shared" si="6"/>
        <v>0</v>
      </c>
      <c r="M46" s="512">
        <f t="shared" si="7"/>
        <v>0</v>
      </c>
      <c r="N46" s="172">
        <v>1.5</v>
      </c>
      <c r="O46" s="412">
        <v>1</v>
      </c>
      <c r="P46" s="988"/>
    </row>
    <row r="47" spans="1:16" s="170" customFormat="1" ht="40.5">
      <c r="A47" s="1696"/>
      <c r="B47" s="1697"/>
      <c r="C47" s="171" t="s">
        <v>849</v>
      </c>
      <c r="D47" s="173" t="s">
        <v>850</v>
      </c>
      <c r="E47" s="172">
        <v>5</v>
      </c>
      <c r="F47" s="172">
        <v>5</v>
      </c>
      <c r="G47" s="172">
        <f t="shared" si="8"/>
        <v>0.5</v>
      </c>
      <c r="H47" s="172"/>
      <c r="I47" s="172">
        <v>5</v>
      </c>
      <c r="J47" s="172">
        <f t="shared" si="9"/>
        <v>0.5</v>
      </c>
      <c r="K47" s="172"/>
      <c r="L47" s="512">
        <f t="shared" si="6"/>
        <v>0</v>
      </c>
      <c r="M47" s="512">
        <f t="shared" si="7"/>
        <v>0</v>
      </c>
      <c r="N47" s="172">
        <v>0.5</v>
      </c>
      <c r="O47" s="412">
        <v>1</v>
      </c>
      <c r="P47" s="988"/>
    </row>
    <row r="48" spans="1:16" s="170" customFormat="1" ht="27">
      <c r="A48" s="1696"/>
      <c r="B48" s="1697" t="s">
        <v>851</v>
      </c>
      <c r="C48" s="171" t="s">
        <v>852</v>
      </c>
      <c r="D48" s="173" t="s">
        <v>853</v>
      </c>
      <c r="E48" s="172">
        <v>4</v>
      </c>
      <c r="F48" s="172">
        <v>4</v>
      </c>
      <c r="G48" s="172">
        <f t="shared" si="8"/>
        <v>0.4</v>
      </c>
      <c r="H48" s="172"/>
      <c r="I48" s="172">
        <v>4</v>
      </c>
      <c r="J48" s="172">
        <f t="shared" si="9"/>
        <v>0.4</v>
      </c>
      <c r="K48" s="172"/>
      <c r="L48" s="512">
        <f t="shared" si="6"/>
        <v>0</v>
      </c>
      <c r="M48" s="512">
        <f t="shared" si="7"/>
        <v>0</v>
      </c>
      <c r="N48" s="172">
        <v>0.4</v>
      </c>
      <c r="O48" s="413">
        <v>1</v>
      </c>
      <c r="P48" s="988"/>
    </row>
    <row r="49" spans="1:16" s="170" customFormat="1" ht="14.25">
      <c r="A49" s="1696"/>
      <c r="B49" s="1697"/>
      <c r="C49" s="171" t="s">
        <v>854</v>
      </c>
      <c r="D49" s="439" t="s">
        <v>1718</v>
      </c>
      <c r="E49" s="172">
        <v>3</v>
      </c>
      <c r="F49" s="445">
        <v>0</v>
      </c>
      <c r="G49" s="172">
        <f t="shared" si="8"/>
        <v>0</v>
      </c>
      <c r="H49" s="172"/>
      <c r="I49" s="445">
        <v>0</v>
      </c>
      <c r="J49" s="172">
        <f t="shared" si="9"/>
        <v>0</v>
      </c>
      <c r="K49" s="172"/>
      <c r="L49" s="512">
        <f t="shared" si="6"/>
        <v>0</v>
      </c>
      <c r="M49" s="512">
        <f t="shared" si="7"/>
        <v>3</v>
      </c>
      <c r="N49" s="172">
        <v>0.30000000000000004</v>
      </c>
      <c r="O49" s="414">
        <v>1</v>
      </c>
      <c r="P49" s="988"/>
    </row>
    <row r="50" spans="1:16" s="170" customFormat="1" ht="27">
      <c r="A50" s="1696"/>
      <c r="B50" s="1697"/>
      <c r="C50" s="171" t="s">
        <v>855</v>
      </c>
      <c r="D50" s="173" t="s">
        <v>1719</v>
      </c>
      <c r="E50" s="172">
        <v>5</v>
      </c>
      <c r="F50" s="445">
        <v>3</v>
      </c>
      <c r="G50" s="172">
        <f t="shared" si="8"/>
        <v>0.30000000000000004</v>
      </c>
      <c r="H50" s="172"/>
      <c r="I50" s="445">
        <v>3</v>
      </c>
      <c r="J50" s="172">
        <f t="shared" si="9"/>
        <v>0.30000000000000004</v>
      </c>
      <c r="K50" s="172"/>
      <c r="L50" s="512">
        <f t="shared" si="6"/>
        <v>0</v>
      </c>
      <c r="M50" s="512">
        <f t="shared" si="7"/>
        <v>2</v>
      </c>
      <c r="N50" s="172">
        <v>0.5</v>
      </c>
      <c r="O50" s="412">
        <v>1</v>
      </c>
      <c r="P50" s="988"/>
    </row>
    <row r="51" spans="1:16" s="170" customFormat="1" ht="40.5">
      <c r="A51" s="1696"/>
      <c r="B51" s="1697"/>
      <c r="C51" s="171" t="s">
        <v>856</v>
      </c>
      <c r="D51" s="173" t="s">
        <v>857</v>
      </c>
      <c r="E51" s="172">
        <v>8</v>
      </c>
      <c r="F51" s="172">
        <v>8</v>
      </c>
      <c r="G51" s="172">
        <f t="shared" si="8"/>
        <v>0.8</v>
      </c>
      <c r="H51" s="172"/>
      <c r="I51" s="172">
        <v>8</v>
      </c>
      <c r="J51" s="172">
        <f t="shared" si="9"/>
        <v>0.8</v>
      </c>
      <c r="K51" s="172"/>
      <c r="L51" s="512">
        <f t="shared" si="6"/>
        <v>0</v>
      </c>
      <c r="M51" s="512">
        <f t="shared" si="7"/>
        <v>0</v>
      </c>
      <c r="N51" s="172">
        <v>0.8</v>
      </c>
      <c r="O51" s="412">
        <v>1</v>
      </c>
      <c r="P51" s="988"/>
    </row>
    <row r="52" spans="1:16" s="170" customFormat="1" ht="27">
      <c r="A52" s="1696"/>
      <c r="B52" s="1697" t="s">
        <v>858</v>
      </c>
      <c r="C52" s="171" t="s">
        <v>859</v>
      </c>
      <c r="D52" s="173" t="s">
        <v>860</v>
      </c>
      <c r="E52" s="172">
        <v>4</v>
      </c>
      <c r="F52" s="172">
        <v>4</v>
      </c>
      <c r="G52" s="172">
        <f t="shared" si="8"/>
        <v>0.4</v>
      </c>
      <c r="H52" s="172"/>
      <c r="I52" s="172">
        <v>4</v>
      </c>
      <c r="J52" s="172">
        <f t="shared" si="9"/>
        <v>0.4</v>
      </c>
      <c r="K52" s="172"/>
      <c r="L52" s="512">
        <f t="shared" si="6"/>
        <v>0</v>
      </c>
      <c r="M52" s="512">
        <f t="shared" si="7"/>
        <v>0</v>
      </c>
      <c r="N52" s="172">
        <v>0.4</v>
      </c>
      <c r="O52" s="413">
        <v>1</v>
      </c>
      <c r="P52" s="988"/>
    </row>
    <row r="53" spans="1:16" s="170" customFormat="1" ht="40.5">
      <c r="A53" s="1696"/>
      <c r="B53" s="1697"/>
      <c r="C53" s="171" t="s">
        <v>861</v>
      </c>
      <c r="D53" s="173" t="s">
        <v>862</v>
      </c>
      <c r="E53" s="172">
        <v>4</v>
      </c>
      <c r="F53" s="172">
        <v>4</v>
      </c>
      <c r="G53" s="172">
        <f t="shared" si="8"/>
        <v>0.4</v>
      </c>
      <c r="H53" s="172"/>
      <c r="I53" s="172">
        <v>4</v>
      </c>
      <c r="J53" s="172">
        <f t="shared" si="9"/>
        <v>0.4</v>
      </c>
      <c r="K53" s="172"/>
      <c r="L53" s="512">
        <f t="shared" si="6"/>
        <v>0</v>
      </c>
      <c r="M53" s="512">
        <f t="shared" si="7"/>
        <v>0</v>
      </c>
      <c r="N53" s="172">
        <v>0.4</v>
      </c>
      <c r="O53" s="413">
        <v>1</v>
      </c>
      <c r="P53" s="988"/>
    </row>
    <row r="54" spans="1:16" s="170" customFormat="1" ht="40.5">
      <c r="A54" s="1696"/>
      <c r="B54" s="1697"/>
      <c r="C54" s="171" t="s">
        <v>863</v>
      </c>
      <c r="D54" s="439" t="s">
        <v>1720</v>
      </c>
      <c r="E54" s="172">
        <v>4</v>
      </c>
      <c r="F54" s="445">
        <v>2</v>
      </c>
      <c r="G54" s="172">
        <f t="shared" si="8"/>
        <v>0.2</v>
      </c>
      <c r="H54" s="172"/>
      <c r="I54" s="445">
        <v>2</v>
      </c>
      <c r="J54" s="172">
        <f t="shared" si="9"/>
        <v>0.2</v>
      </c>
      <c r="K54" s="172"/>
      <c r="L54" s="512">
        <f t="shared" si="6"/>
        <v>0</v>
      </c>
      <c r="M54" s="512">
        <f t="shared" si="7"/>
        <v>2</v>
      </c>
      <c r="N54" s="172">
        <v>0.4</v>
      </c>
      <c r="O54" s="414">
        <v>1</v>
      </c>
      <c r="P54" s="988"/>
    </row>
    <row r="55" spans="1:16" s="170" customFormat="1" ht="54">
      <c r="A55" s="1696"/>
      <c r="B55" s="1697"/>
      <c r="C55" s="171" t="s">
        <v>864</v>
      </c>
      <c r="D55" s="173" t="s">
        <v>865</v>
      </c>
      <c r="E55" s="172">
        <v>4</v>
      </c>
      <c r="F55" s="172">
        <v>4</v>
      </c>
      <c r="G55" s="172">
        <f t="shared" si="8"/>
        <v>0.4</v>
      </c>
      <c r="H55" s="172"/>
      <c r="I55" s="172">
        <v>4</v>
      </c>
      <c r="J55" s="172">
        <f t="shared" si="9"/>
        <v>0.4</v>
      </c>
      <c r="K55" s="172"/>
      <c r="L55" s="512">
        <f t="shared" si="6"/>
        <v>0</v>
      </c>
      <c r="M55" s="512">
        <f t="shared" si="7"/>
        <v>0</v>
      </c>
      <c r="N55" s="172">
        <v>0.4</v>
      </c>
      <c r="O55" s="412">
        <v>1</v>
      </c>
      <c r="P55" s="988"/>
    </row>
    <row r="56" spans="1:16" s="170" customFormat="1" ht="14.25">
      <c r="A56" s="1696"/>
      <c r="B56" s="1697"/>
      <c r="C56" s="171" t="s">
        <v>866</v>
      </c>
      <c r="D56" s="439" t="s">
        <v>867</v>
      </c>
      <c r="E56" s="172">
        <v>4</v>
      </c>
      <c r="F56" s="445">
        <v>0</v>
      </c>
      <c r="G56" s="172">
        <f t="shared" si="8"/>
        <v>0</v>
      </c>
      <c r="H56" s="172"/>
      <c r="I56" s="445">
        <v>0</v>
      </c>
      <c r="J56" s="172">
        <f t="shared" si="9"/>
        <v>0</v>
      </c>
      <c r="K56" s="172"/>
      <c r="L56" s="512">
        <f t="shared" si="6"/>
        <v>0</v>
      </c>
      <c r="M56" s="512">
        <f t="shared" si="7"/>
        <v>4</v>
      </c>
      <c r="N56" s="172">
        <v>0.4</v>
      </c>
      <c r="O56" s="413">
        <v>1</v>
      </c>
      <c r="P56" s="988"/>
    </row>
    <row r="57" spans="1:16" s="170" customFormat="1" ht="27">
      <c r="A57" s="1696"/>
      <c r="B57" s="1697" t="s">
        <v>868</v>
      </c>
      <c r="C57" s="171" t="s">
        <v>869</v>
      </c>
      <c r="D57" s="173" t="s">
        <v>870</v>
      </c>
      <c r="E57" s="172">
        <v>2</v>
      </c>
      <c r="F57" s="172">
        <v>2</v>
      </c>
      <c r="G57" s="172">
        <f t="shared" si="8"/>
        <v>0.2</v>
      </c>
      <c r="H57" s="172"/>
      <c r="I57" s="172">
        <v>2</v>
      </c>
      <c r="J57" s="172">
        <f t="shared" si="9"/>
        <v>0.2</v>
      </c>
      <c r="K57" s="172"/>
      <c r="L57" s="512">
        <f t="shared" si="6"/>
        <v>0</v>
      </c>
      <c r="M57" s="512">
        <f t="shared" si="7"/>
        <v>0</v>
      </c>
      <c r="N57" s="172">
        <v>0.2</v>
      </c>
      <c r="O57" s="413">
        <v>1</v>
      </c>
      <c r="P57" s="988"/>
    </row>
    <row r="58" spans="1:16" s="170" customFormat="1" ht="40.5">
      <c r="A58" s="1696"/>
      <c r="B58" s="1697"/>
      <c r="C58" s="171" t="s">
        <v>871</v>
      </c>
      <c r="D58" s="173" t="s">
        <v>872</v>
      </c>
      <c r="E58" s="172">
        <v>2</v>
      </c>
      <c r="F58" s="172">
        <v>2</v>
      </c>
      <c r="G58" s="172">
        <f t="shared" si="8"/>
        <v>0.2</v>
      </c>
      <c r="H58" s="172"/>
      <c r="I58" s="172">
        <v>2</v>
      </c>
      <c r="J58" s="172">
        <f t="shared" si="9"/>
        <v>0.2</v>
      </c>
      <c r="K58" s="172"/>
      <c r="L58" s="512">
        <f t="shared" si="6"/>
        <v>0</v>
      </c>
      <c r="M58" s="512">
        <f t="shared" si="7"/>
        <v>0</v>
      </c>
      <c r="N58" s="172">
        <v>0.2</v>
      </c>
      <c r="O58" s="413">
        <v>1</v>
      </c>
      <c r="P58" s="988"/>
    </row>
    <row r="59" spans="1:16" s="170" customFormat="1" ht="14.25">
      <c r="A59" s="1696"/>
      <c r="B59" s="1697"/>
      <c r="C59" s="171" t="s">
        <v>873</v>
      </c>
      <c r="D59" s="439" t="s">
        <v>1721</v>
      </c>
      <c r="E59" s="172">
        <v>3</v>
      </c>
      <c r="F59" s="445">
        <v>2</v>
      </c>
      <c r="G59" s="172">
        <f t="shared" si="8"/>
        <v>0.2</v>
      </c>
      <c r="H59" s="172"/>
      <c r="I59" s="445">
        <v>2</v>
      </c>
      <c r="J59" s="172">
        <f t="shared" si="9"/>
        <v>0.2</v>
      </c>
      <c r="K59" s="172"/>
      <c r="L59" s="512">
        <f t="shared" si="6"/>
        <v>0</v>
      </c>
      <c r="M59" s="512">
        <f t="shared" si="7"/>
        <v>1</v>
      </c>
      <c r="N59" s="172">
        <v>0.30000000000000004</v>
      </c>
      <c r="O59" s="414">
        <v>1</v>
      </c>
      <c r="P59" s="988"/>
    </row>
    <row r="60" spans="1:16" s="170" customFormat="1" ht="40.5">
      <c r="A60" s="1696"/>
      <c r="B60" s="1697"/>
      <c r="C60" s="171" t="s">
        <v>874</v>
      </c>
      <c r="D60" s="173" t="s">
        <v>875</v>
      </c>
      <c r="E60" s="172">
        <v>3</v>
      </c>
      <c r="F60" s="172">
        <v>3</v>
      </c>
      <c r="G60" s="172">
        <f t="shared" si="8"/>
        <v>0.30000000000000004</v>
      </c>
      <c r="H60" s="172">
        <f>SUM(F44:F60)*0.1</f>
        <v>8.8000000000000007</v>
      </c>
      <c r="I60" s="172">
        <v>3</v>
      </c>
      <c r="J60" s="172">
        <f t="shared" si="9"/>
        <v>0.30000000000000004</v>
      </c>
      <c r="K60" s="172">
        <f>SUM(I44:I60)*0.1</f>
        <v>8.8000000000000007</v>
      </c>
      <c r="L60" s="512">
        <f t="shared" si="6"/>
        <v>0</v>
      </c>
      <c r="M60" s="512">
        <f t="shared" si="7"/>
        <v>0</v>
      </c>
      <c r="N60" s="172">
        <v>0.30000000000000004</v>
      </c>
      <c r="O60" s="413">
        <v>1</v>
      </c>
      <c r="P60" s="988"/>
    </row>
    <row r="61" spans="1:16" s="170" customFormat="1" ht="40.5">
      <c r="A61" s="1696" t="s">
        <v>876</v>
      </c>
      <c r="B61" s="1697" t="s">
        <v>877</v>
      </c>
      <c r="C61" s="171" t="s">
        <v>878</v>
      </c>
      <c r="D61" s="173" t="s">
        <v>1726</v>
      </c>
      <c r="E61" s="172">
        <v>5</v>
      </c>
      <c r="F61" s="172">
        <v>5</v>
      </c>
      <c r="G61" s="172">
        <f t="shared" ref="G61:G75" si="10">F61*0.18</f>
        <v>0.89999999999999991</v>
      </c>
      <c r="H61" s="172"/>
      <c r="I61" s="172">
        <v>5</v>
      </c>
      <c r="J61" s="172">
        <f t="shared" ref="J61:J75" si="11">I61*0.18</f>
        <v>0.89999999999999991</v>
      </c>
      <c r="K61" s="172"/>
      <c r="L61" s="512">
        <f t="shared" si="6"/>
        <v>0</v>
      </c>
      <c r="M61" s="512">
        <f t="shared" si="7"/>
        <v>0</v>
      </c>
      <c r="N61" s="172">
        <v>0.89999999999999991</v>
      </c>
      <c r="O61" s="414">
        <v>1</v>
      </c>
      <c r="P61" s="988"/>
    </row>
    <row r="62" spans="1:16" s="170" customFormat="1" ht="54">
      <c r="A62" s="1696"/>
      <c r="B62" s="1697"/>
      <c r="C62" s="171" t="s">
        <v>879</v>
      </c>
      <c r="D62" s="173" t="s">
        <v>880</v>
      </c>
      <c r="E62" s="172">
        <v>5</v>
      </c>
      <c r="F62" s="172">
        <v>5</v>
      </c>
      <c r="G62" s="172">
        <f t="shared" si="10"/>
        <v>0.89999999999999991</v>
      </c>
      <c r="H62" s="172"/>
      <c r="I62" s="172">
        <v>5</v>
      </c>
      <c r="J62" s="172">
        <f t="shared" si="11"/>
        <v>0.89999999999999991</v>
      </c>
      <c r="K62" s="172"/>
      <c r="L62" s="512">
        <f t="shared" si="6"/>
        <v>0</v>
      </c>
      <c r="M62" s="512">
        <f t="shared" si="7"/>
        <v>0</v>
      </c>
      <c r="N62" s="172">
        <v>0.89999999999999991</v>
      </c>
      <c r="O62" s="413">
        <v>1</v>
      </c>
      <c r="P62" s="988"/>
    </row>
    <row r="63" spans="1:16" s="170" customFormat="1" ht="14.25">
      <c r="A63" s="1696"/>
      <c r="B63" s="1697"/>
      <c r="C63" s="171" t="s">
        <v>881</v>
      </c>
      <c r="D63" s="173" t="s">
        <v>882</v>
      </c>
      <c r="E63" s="172">
        <v>5</v>
      </c>
      <c r="F63" s="172">
        <v>5</v>
      </c>
      <c r="G63" s="172">
        <f t="shared" si="10"/>
        <v>0.89999999999999991</v>
      </c>
      <c r="H63" s="172"/>
      <c r="I63" s="172">
        <v>5</v>
      </c>
      <c r="J63" s="172">
        <f t="shared" si="11"/>
        <v>0.89999999999999991</v>
      </c>
      <c r="K63" s="172"/>
      <c r="L63" s="512">
        <f t="shared" si="6"/>
        <v>0</v>
      </c>
      <c r="M63" s="512">
        <f t="shared" si="7"/>
        <v>0</v>
      </c>
      <c r="N63" s="172">
        <v>0.89999999999999991</v>
      </c>
      <c r="O63" s="414">
        <v>1</v>
      </c>
      <c r="P63" s="988"/>
    </row>
    <row r="64" spans="1:16" s="170" customFormat="1" ht="27">
      <c r="A64" s="1696"/>
      <c r="B64" s="1697"/>
      <c r="C64" s="181" t="s">
        <v>883</v>
      </c>
      <c r="D64" s="180" t="s">
        <v>884</v>
      </c>
      <c r="E64" s="172">
        <v>5</v>
      </c>
      <c r="F64" s="172">
        <v>5</v>
      </c>
      <c r="G64" s="172">
        <f t="shared" si="10"/>
        <v>0.89999999999999991</v>
      </c>
      <c r="H64" s="172"/>
      <c r="I64" s="172">
        <v>5</v>
      </c>
      <c r="J64" s="172">
        <f t="shared" si="11"/>
        <v>0.89999999999999991</v>
      </c>
      <c r="K64" s="172"/>
      <c r="L64" s="512">
        <f t="shared" si="6"/>
        <v>0</v>
      </c>
      <c r="M64" s="512">
        <f t="shared" si="7"/>
        <v>0</v>
      </c>
      <c r="N64" s="172">
        <v>0.89999999999999991</v>
      </c>
      <c r="O64" s="412">
        <v>1</v>
      </c>
      <c r="P64" s="988"/>
    </row>
    <row r="65" spans="1:16" s="170" customFormat="1" ht="27">
      <c r="A65" s="1696"/>
      <c r="B65" s="1697" t="s">
        <v>885</v>
      </c>
      <c r="C65" s="171" t="s">
        <v>886</v>
      </c>
      <c r="D65" s="173" t="s">
        <v>1725</v>
      </c>
      <c r="E65" s="172">
        <v>10</v>
      </c>
      <c r="F65" s="172">
        <v>10</v>
      </c>
      <c r="G65" s="172">
        <f t="shared" si="10"/>
        <v>1.7999999999999998</v>
      </c>
      <c r="H65" s="172"/>
      <c r="I65" s="172">
        <v>10</v>
      </c>
      <c r="J65" s="172">
        <f t="shared" si="11"/>
        <v>1.7999999999999998</v>
      </c>
      <c r="K65" s="172"/>
      <c r="L65" s="512">
        <f t="shared" si="6"/>
        <v>0</v>
      </c>
      <c r="M65" s="512">
        <f t="shared" si="7"/>
        <v>0</v>
      </c>
      <c r="N65" s="172">
        <v>1.7999999999999998</v>
      </c>
      <c r="O65" s="412">
        <v>1</v>
      </c>
      <c r="P65" s="988"/>
    </row>
    <row r="66" spans="1:16" s="170" customFormat="1" ht="27">
      <c r="A66" s="1696"/>
      <c r="B66" s="1697"/>
      <c r="C66" s="171" t="s">
        <v>887</v>
      </c>
      <c r="D66" s="173" t="s">
        <v>888</v>
      </c>
      <c r="E66" s="172">
        <v>10</v>
      </c>
      <c r="F66" s="172">
        <v>10</v>
      </c>
      <c r="G66" s="172">
        <f t="shared" si="10"/>
        <v>1.7999999999999998</v>
      </c>
      <c r="H66" s="172"/>
      <c r="I66" s="172">
        <v>10</v>
      </c>
      <c r="J66" s="172">
        <f t="shared" si="11"/>
        <v>1.7999999999999998</v>
      </c>
      <c r="K66" s="172"/>
      <c r="L66" s="512">
        <f t="shared" si="6"/>
        <v>0</v>
      </c>
      <c r="M66" s="512">
        <f t="shared" si="7"/>
        <v>0</v>
      </c>
      <c r="N66" s="172">
        <v>1.7999999999999998</v>
      </c>
      <c r="O66" s="413">
        <v>1</v>
      </c>
      <c r="P66" s="988"/>
    </row>
    <row r="67" spans="1:16" s="170" customFormat="1" ht="27">
      <c r="A67" s="1696"/>
      <c r="B67" s="1697" t="s">
        <v>889</v>
      </c>
      <c r="C67" s="171" t="s">
        <v>890</v>
      </c>
      <c r="D67" s="173" t="s">
        <v>891</v>
      </c>
      <c r="E67" s="172">
        <v>5</v>
      </c>
      <c r="F67" s="172">
        <v>5</v>
      </c>
      <c r="G67" s="172">
        <f t="shared" si="10"/>
        <v>0.89999999999999991</v>
      </c>
      <c r="H67" s="172"/>
      <c r="I67" s="172">
        <v>5</v>
      </c>
      <c r="J67" s="172">
        <f t="shared" si="11"/>
        <v>0.89999999999999991</v>
      </c>
      <c r="K67" s="172"/>
      <c r="L67" s="512">
        <f t="shared" ref="L67:L98" si="12">I67-F67</f>
        <v>0</v>
      </c>
      <c r="M67" s="512">
        <f t="shared" ref="M67:M98" si="13">E67-I67</f>
        <v>0</v>
      </c>
      <c r="N67" s="172">
        <v>0.89999999999999991</v>
      </c>
      <c r="O67" s="413">
        <v>1</v>
      </c>
      <c r="P67" s="988"/>
    </row>
    <row r="68" spans="1:16" s="170" customFormat="1" ht="27">
      <c r="A68" s="1696"/>
      <c r="B68" s="1697"/>
      <c r="C68" s="171" t="s">
        <v>892</v>
      </c>
      <c r="D68" s="173" t="s">
        <v>893</v>
      </c>
      <c r="E68" s="172">
        <v>10</v>
      </c>
      <c r="F68" s="172">
        <v>10</v>
      </c>
      <c r="G68" s="172">
        <f t="shared" si="10"/>
        <v>1.7999999999999998</v>
      </c>
      <c r="H68" s="172"/>
      <c r="I68" s="172">
        <v>10</v>
      </c>
      <c r="J68" s="172">
        <f t="shared" si="11"/>
        <v>1.7999999999999998</v>
      </c>
      <c r="K68" s="172"/>
      <c r="L68" s="512">
        <f t="shared" si="12"/>
        <v>0</v>
      </c>
      <c r="M68" s="512">
        <f t="shared" si="13"/>
        <v>0</v>
      </c>
      <c r="N68" s="172">
        <v>1.7999999999999998</v>
      </c>
      <c r="O68" s="414">
        <v>1</v>
      </c>
      <c r="P68" s="988"/>
    </row>
    <row r="69" spans="1:16" s="170" customFormat="1" ht="14.25">
      <c r="A69" s="1696"/>
      <c r="B69" s="1697" t="s">
        <v>894</v>
      </c>
      <c r="C69" s="171" t="s">
        <v>895</v>
      </c>
      <c r="D69" s="173" t="s">
        <v>896</v>
      </c>
      <c r="E69" s="172">
        <v>5</v>
      </c>
      <c r="F69" s="172">
        <v>5</v>
      </c>
      <c r="G69" s="172">
        <f t="shared" si="10"/>
        <v>0.89999999999999991</v>
      </c>
      <c r="H69" s="172"/>
      <c r="I69" s="172">
        <v>5</v>
      </c>
      <c r="J69" s="172">
        <f t="shared" si="11"/>
        <v>0.89999999999999991</v>
      </c>
      <c r="K69" s="172"/>
      <c r="L69" s="512">
        <f t="shared" si="12"/>
        <v>0</v>
      </c>
      <c r="M69" s="512">
        <f t="shared" si="13"/>
        <v>0</v>
      </c>
      <c r="N69" s="172">
        <v>0.89999999999999991</v>
      </c>
      <c r="O69" s="413">
        <v>1</v>
      </c>
      <c r="P69" s="988"/>
    </row>
    <row r="70" spans="1:16" s="170" customFormat="1" ht="27">
      <c r="A70" s="1696"/>
      <c r="B70" s="1697"/>
      <c r="C70" s="171" t="s">
        <v>897</v>
      </c>
      <c r="D70" s="173" t="s">
        <v>898</v>
      </c>
      <c r="E70" s="172">
        <v>5</v>
      </c>
      <c r="F70" s="172">
        <v>5</v>
      </c>
      <c r="G70" s="172">
        <f t="shared" si="10"/>
        <v>0.89999999999999991</v>
      </c>
      <c r="H70" s="172"/>
      <c r="I70" s="172">
        <v>5</v>
      </c>
      <c r="J70" s="172">
        <f t="shared" si="11"/>
        <v>0.89999999999999991</v>
      </c>
      <c r="K70" s="172"/>
      <c r="L70" s="512">
        <f t="shared" si="12"/>
        <v>0</v>
      </c>
      <c r="M70" s="512">
        <f t="shared" si="13"/>
        <v>0</v>
      </c>
      <c r="N70" s="172">
        <v>0.89999999999999991</v>
      </c>
      <c r="O70" s="413">
        <v>1</v>
      </c>
      <c r="P70" s="988"/>
    </row>
    <row r="71" spans="1:16" s="170" customFormat="1" ht="27">
      <c r="A71" s="1696"/>
      <c r="B71" s="1697"/>
      <c r="C71" s="171" t="s">
        <v>899</v>
      </c>
      <c r="D71" s="439" t="s">
        <v>1722</v>
      </c>
      <c r="E71" s="172">
        <v>5</v>
      </c>
      <c r="F71" s="445">
        <v>0</v>
      </c>
      <c r="G71" s="172">
        <f t="shared" si="10"/>
        <v>0</v>
      </c>
      <c r="H71" s="172"/>
      <c r="I71" s="445">
        <v>0</v>
      </c>
      <c r="J71" s="172">
        <f t="shared" si="11"/>
        <v>0</v>
      </c>
      <c r="K71" s="172"/>
      <c r="L71" s="512">
        <f t="shared" si="12"/>
        <v>0</v>
      </c>
      <c r="M71" s="512">
        <f t="shared" si="13"/>
        <v>5</v>
      </c>
      <c r="N71" s="172">
        <v>0.89999999999999991</v>
      </c>
      <c r="O71" s="414">
        <v>1</v>
      </c>
      <c r="P71" s="988"/>
    </row>
    <row r="72" spans="1:16" s="170" customFormat="1" ht="14.25">
      <c r="A72" s="1696"/>
      <c r="B72" s="1697" t="s">
        <v>900</v>
      </c>
      <c r="C72" s="171" t="s">
        <v>901</v>
      </c>
      <c r="D72" s="173" t="s">
        <v>902</v>
      </c>
      <c r="E72" s="172">
        <v>5</v>
      </c>
      <c r="F72" s="172">
        <v>5</v>
      </c>
      <c r="G72" s="172">
        <f t="shared" si="10"/>
        <v>0.89999999999999991</v>
      </c>
      <c r="H72" s="172"/>
      <c r="I72" s="172">
        <v>5</v>
      </c>
      <c r="J72" s="172">
        <f t="shared" si="11"/>
        <v>0.89999999999999991</v>
      </c>
      <c r="K72" s="172"/>
      <c r="L72" s="512">
        <f t="shared" si="12"/>
        <v>0</v>
      </c>
      <c r="M72" s="512">
        <f t="shared" si="13"/>
        <v>0</v>
      </c>
      <c r="N72" s="172">
        <v>0.89999999999999991</v>
      </c>
      <c r="O72" s="413">
        <v>1</v>
      </c>
      <c r="P72" s="988"/>
    </row>
    <row r="73" spans="1:16" s="170" customFormat="1" ht="27">
      <c r="A73" s="1696"/>
      <c r="B73" s="1697"/>
      <c r="C73" s="171" t="s">
        <v>903</v>
      </c>
      <c r="D73" s="173" t="s">
        <v>904</v>
      </c>
      <c r="E73" s="172">
        <v>5</v>
      </c>
      <c r="F73" s="172">
        <v>5</v>
      </c>
      <c r="G73" s="172">
        <f t="shared" si="10"/>
        <v>0.89999999999999991</v>
      </c>
      <c r="H73" s="172"/>
      <c r="I73" s="172">
        <v>5</v>
      </c>
      <c r="J73" s="172">
        <f t="shared" si="11"/>
        <v>0.89999999999999991</v>
      </c>
      <c r="K73" s="172"/>
      <c r="L73" s="512">
        <f t="shared" si="12"/>
        <v>0</v>
      </c>
      <c r="M73" s="512">
        <f t="shared" si="13"/>
        <v>0</v>
      </c>
      <c r="N73" s="172">
        <v>0.89999999999999991</v>
      </c>
      <c r="O73" s="413">
        <v>1</v>
      </c>
      <c r="P73" s="988"/>
    </row>
    <row r="74" spans="1:16" s="170" customFormat="1" ht="14.25">
      <c r="A74" s="1696"/>
      <c r="B74" s="1697"/>
      <c r="C74" s="171" t="s">
        <v>905</v>
      </c>
      <c r="D74" s="173" t="s">
        <v>1724</v>
      </c>
      <c r="E74" s="172">
        <v>5</v>
      </c>
      <c r="F74" s="172">
        <v>5</v>
      </c>
      <c r="G74" s="172">
        <f t="shared" si="10"/>
        <v>0.89999999999999991</v>
      </c>
      <c r="H74" s="172"/>
      <c r="I74" s="172">
        <v>5</v>
      </c>
      <c r="J74" s="172">
        <f t="shared" si="11"/>
        <v>0.89999999999999991</v>
      </c>
      <c r="K74" s="172"/>
      <c r="L74" s="512">
        <f t="shared" si="12"/>
        <v>0</v>
      </c>
      <c r="M74" s="512">
        <f t="shared" si="13"/>
        <v>0</v>
      </c>
      <c r="N74" s="172">
        <v>0.89999999999999991</v>
      </c>
      <c r="O74" s="414">
        <v>1</v>
      </c>
      <c r="P74" s="988"/>
    </row>
    <row r="75" spans="1:16" s="170" customFormat="1" ht="13.5" customHeight="1">
      <c r="A75" s="1696"/>
      <c r="B75" s="177" t="s">
        <v>906</v>
      </c>
      <c r="C75" s="181" t="s">
        <v>907</v>
      </c>
      <c r="D75" s="180" t="s">
        <v>908</v>
      </c>
      <c r="E75" s="172">
        <v>15</v>
      </c>
      <c r="F75" s="172">
        <v>15</v>
      </c>
      <c r="G75" s="172">
        <f t="shared" si="10"/>
        <v>2.6999999999999997</v>
      </c>
      <c r="H75" s="172">
        <f>SUM(F61:F75)*0.18</f>
        <v>17.099999999999998</v>
      </c>
      <c r="I75" s="172">
        <v>15</v>
      </c>
      <c r="J75" s="172">
        <f t="shared" si="11"/>
        <v>2.6999999999999997</v>
      </c>
      <c r="K75" s="172">
        <f>SUM(I61:I75)*0.18</f>
        <v>17.099999999999998</v>
      </c>
      <c r="L75" s="512">
        <f t="shared" si="12"/>
        <v>0</v>
      </c>
      <c r="M75" s="512">
        <f t="shared" si="13"/>
        <v>0</v>
      </c>
      <c r="N75" s="172">
        <v>2.6999999999999997</v>
      </c>
      <c r="O75" s="413">
        <v>1</v>
      </c>
      <c r="P75" s="988"/>
    </row>
    <row r="76" spans="1:16" s="170" customFormat="1" ht="27">
      <c r="A76" s="1696" t="s">
        <v>909</v>
      </c>
      <c r="B76" s="1697" t="s">
        <v>910</v>
      </c>
      <c r="C76" s="171" t="s">
        <v>911</v>
      </c>
      <c r="D76" s="173" t="s">
        <v>912</v>
      </c>
      <c r="E76" s="172">
        <v>5</v>
      </c>
      <c r="F76" s="172">
        <v>5</v>
      </c>
      <c r="G76" s="172">
        <f t="shared" ref="G76:G95" si="14">F76*0.07</f>
        <v>0.35000000000000003</v>
      </c>
      <c r="H76" s="172"/>
      <c r="I76" s="172">
        <v>5</v>
      </c>
      <c r="J76" s="172">
        <f t="shared" ref="J76:J95" si="15">I76*0.07</f>
        <v>0.35000000000000003</v>
      </c>
      <c r="K76" s="172"/>
      <c r="L76" s="512">
        <f t="shared" si="12"/>
        <v>0</v>
      </c>
      <c r="M76" s="512">
        <f t="shared" si="13"/>
        <v>0</v>
      </c>
      <c r="N76" s="172">
        <v>0.35000000000000003</v>
      </c>
      <c r="O76" s="413">
        <v>1</v>
      </c>
      <c r="P76" s="988"/>
    </row>
    <row r="77" spans="1:16" s="170" customFormat="1" ht="14.25">
      <c r="A77" s="1696"/>
      <c r="B77" s="1697"/>
      <c r="C77" s="171" t="s">
        <v>913</v>
      </c>
      <c r="D77" s="173" t="s">
        <v>914</v>
      </c>
      <c r="E77" s="172">
        <v>5</v>
      </c>
      <c r="F77" s="172">
        <v>5</v>
      </c>
      <c r="G77" s="172">
        <f t="shared" si="14"/>
        <v>0.35000000000000003</v>
      </c>
      <c r="H77" s="172"/>
      <c r="I77" s="172">
        <v>5</v>
      </c>
      <c r="J77" s="172">
        <f t="shared" si="15"/>
        <v>0.35000000000000003</v>
      </c>
      <c r="K77" s="172"/>
      <c r="L77" s="512">
        <f t="shared" si="12"/>
        <v>0</v>
      </c>
      <c r="M77" s="512">
        <f t="shared" si="13"/>
        <v>0</v>
      </c>
      <c r="N77" s="172">
        <v>0.35000000000000003</v>
      </c>
      <c r="O77" s="413">
        <v>1</v>
      </c>
      <c r="P77" s="988"/>
    </row>
    <row r="78" spans="1:16" s="170" customFormat="1" ht="27">
      <c r="A78" s="1696"/>
      <c r="B78" s="1697"/>
      <c r="C78" s="171" t="s">
        <v>915</v>
      </c>
      <c r="D78" s="173" t="s">
        <v>916</v>
      </c>
      <c r="E78" s="172">
        <v>5</v>
      </c>
      <c r="F78" s="172">
        <v>5</v>
      </c>
      <c r="G78" s="172">
        <f t="shared" si="14"/>
        <v>0.35000000000000003</v>
      </c>
      <c r="H78" s="172"/>
      <c r="I78" s="172">
        <v>5</v>
      </c>
      <c r="J78" s="172">
        <f t="shared" si="15"/>
        <v>0.35000000000000003</v>
      </c>
      <c r="K78" s="172"/>
      <c r="L78" s="512">
        <f t="shared" si="12"/>
        <v>0</v>
      </c>
      <c r="M78" s="512">
        <f t="shared" si="13"/>
        <v>0</v>
      </c>
      <c r="N78" s="172">
        <v>0.35000000000000003</v>
      </c>
      <c r="O78" s="413">
        <v>1</v>
      </c>
      <c r="P78" s="988"/>
    </row>
    <row r="79" spans="1:16" s="170" customFormat="1" ht="27">
      <c r="A79" s="1696"/>
      <c r="B79" s="1697"/>
      <c r="C79" s="171" t="s">
        <v>917</v>
      </c>
      <c r="D79" s="173" t="s">
        <v>918</v>
      </c>
      <c r="E79" s="172">
        <v>5</v>
      </c>
      <c r="F79" s="172">
        <v>5</v>
      </c>
      <c r="G79" s="172">
        <f t="shared" si="14"/>
        <v>0.35000000000000003</v>
      </c>
      <c r="H79" s="172"/>
      <c r="I79" s="172">
        <v>5</v>
      </c>
      <c r="J79" s="172">
        <f t="shared" si="15"/>
        <v>0.35000000000000003</v>
      </c>
      <c r="K79" s="172"/>
      <c r="L79" s="512">
        <f t="shared" si="12"/>
        <v>0</v>
      </c>
      <c r="M79" s="512">
        <f t="shared" si="13"/>
        <v>0</v>
      </c>
      <c r="N79" s="172">
        <v>0.35000000000000003</v>
      </c>
      <c r="O79" s="413">
        <v>1</v>
      </c>
      <c r="P79" s="988"/>
    </row>
    <row r="80" spans="1:16" s="170" customFormat="1" ht="40.5">
      <c r="A80" s="1696"/>
      <c r="B80" s="1697" t="s">
        <v>919</v>
      </c>
      <c r="C80" s="181" t="s">
        <v>920</v>
      </c>
      <c r="D80" s="173" t="s">
        <v>921</v>
      </c>
      <c r="E80" s="172">
        <v>5</v>
      </c>
      <c r="F80" s="172">
        <v>5</v>
      </c>
      <c r="G80" s="172">
        <f t="shared" si="14"/>
        <v>0.35000000000000003</v>
      </c>
      <c r="H80" s="172"/>
      <c r="I80" s="172">
        <v>5</v>
      </c>
      <c r="J80" s="172">
        <f t="shared" si="15"/>
        <v>0.35000000000000003</v>
      </c>
      <c r="K80" s="172"/>
      <c r="L80" s="512">
        <f t="shared" si="12"/>
        <v>0</v>
      </c>
      <c r="M80" s="512">
        <f t="shared" si="13"/>
        <v>0</v>
      </c>
      <c r="N80" s="172">
        <v>0.35000000000000003</v>
      </c>
      <c r="O80" s="413">
        <v>1</v>
      </c>
      <c r="P80" s="988"/>
    </row>
    <row r="81" spans="1:16" s="170" customFormat="1" ht="14.25">
      <c r="A81" s="1696"/>
      <c r="B81" s="1697"/>
      <c r="C81" s="171" t="s">
        <v>922</v>
      </c>
      <c r="D81" s="173" t="s">
        <v>923</v>
      </c>
      <c r="E81" s="172">
        <v>5</v>
      </c>
      <c r="F81" s="172">
        <v>5</v>
      </c>
      <c r="G81" s="172">
        <f t="shared" si="14"/>
        <v>0.35000000000000003</v>
      </c>
      <c r="H81" s="172"/>
      <c r="I81" s="172">
        <v>5</v>
      </c>
      <c r="J81" s="172">
        <f t="shared" si="15"/>
        <v>0.35000000000000003</v>
      </c>
      <c r="K81" s="172"/>
      <c r="L81" s="512">
        <f t="shared" si="12"/>
        <v>0</v>
      </c>
      <c r="M81" s="512">
        <f t="shared" si="13"/>
        <v>0</v>
      </c>
      <c r="N81" s="172">
        <v>0.35000000000000003</v>
      </c>
      <c r="O81" s="413">
        <v>1</v>
      </c>
      <c r="P81" s="988"/>
    </row>
    <row r="82" spans="1:16" s="170" customFormat="1" ht="14.25">
      <c r="A82" s="1696"/>
      <c r="B82" s="1697" t="s">
        <v>924</v>
      </c>
      <c r="C82" s="171" t="s">
        <v>925</v>
      </c>
      <c r="D82" s="173" t="s">
        <v>926</v>
      </c>
      <c r="E82" s="172">
        <v>5</v>
      </c>
      <c r="F82" s="172">
        <v>5</v>
      </c>
      <c r="G82" s="172">
        <f t="shared" si="14"/>
        <v>0.35000000000000003</v>
      </c>
      <c r="H82" s="172"/>
      <c r="I82" s="172">
        <v>5</v>
      </c>
      <c r="J82" s="172">
        <f t="shared" si="15"/>
        <v>0.35000000000000003</v>
      </c>
      <c r="K82" s="172"/>
      <c r="L82" s="512">
        <f t="shared" si="12"/>
        <v>0</v>
      </c>
      <c r="M82" s="512">
        <f t="shared" si="13"/>
        <v>0</v>
      </c>
      <c r="N82" s="172">
        <v>0.35000000000000003</v>
      </c>
      <c r="O82" s="413">
        <v>1</v>
      </c>
      <c r="P82" s="988"/>
    </row>
    <row r="83" spans="1:16" s="170" customFormat="1" ht="14.25">
      <c r="A83" s="1696"/>
      <c r="B83" s="1697"/>
      <c r="C83" s="171" t="s">
        <v>927</v>
      </c>
      <c r="D83" s="173" t="s">
        <v>928</v>
      </c>
      <c r="E83" s="172">
        <v>5</v>
      </c>
      <c r="F83" s="172">
        <v>5</v>
      </c>
      <c r="G83" s="172">
        <f t="shared" si="14"/>
        <v>0.35000000000000003</v>
      </c>
      <c r="H83" s="172"/>
      <c r="I83" s="172">
        <v>5</v>
      </c>
      <c r="J83" s="172">
        <f t="shared" si="15"/>
        <v>0.35000000000000003</v>
      </c>
      <c r="K83" s="172"/>
      <c r="L83" s="512">
        <f t="shared" si="12"/>
        <v>0</v>
      </c>
      <c r="M83" s="512">
        <f t="shared" si="13"/>
        <v>0</v>
      </c>
      <c r="N83" s="172">
        <v>0.35000000000000003</v>
      </c>
      <c r="O83" s="413">
        <v>1</v>
      </c>
      <c r="P83" s="988"/>
    </row>
    <row r="84" spans="1:16" s="170" customFormat="1" ht="27">
      <c r="A84" s="1696"/>
      <c r="B84" s="1697"/>
      <c r="C84" s="171" t="s">
        <v>929</v>
      </c>
      <c r="D84" s="173" t="s">
        <v>930</v>
      </c>
      <c r="E84" s="172">
        <v>10</v>
      </c>
      <c r="F84" s="172">
        <v>10</v>
      </c>
      <c r="G84" s="172">
        <f t="shared" si="14"/>
        <v>0.70000000000000007</v>
      </c>
      <c r="H84" s="172"/>
      <c r="I84" s="172">
        <v>10</v>
      </c>
      <c r="J84" s="172">
        <f t="shared" si="15"/>
        <v>0.70000000000000007</v>
      </c>
      <c r="K84" s="172"/>
      <c r="L84" s="512">
        <f t="shared" si="12"/>
        <v>0</v>
      </c>
      <c r="M84" s="512">
        <f t="shared" si="13"/>
        <v>0</v>
      </c>
      <c r="N84" s="172">
        <v>0.70000000000000007</v>
      </c>
      <c r="O84" s="414">
        <v>1</v>
      </c>
      <c r="P84" s="988"/>
    </row>
    <row r="85" spans="1:16" s="170" customFormat="1" ht="14.25">
      <c r="A85" s="1696"/>
      <c r="B85" s="1697" t="s">
        <v>931</v>
      </c>
      <c r="C85" s="171" t="s">
        <v>932</v>
      </c>
      <c r="D85" s="173" t="s">
        <v>933</v>
      </c>
      <c r="E85" s="172">
        <v>5</v>
      </c>
      <c r="F85" s="172">
        <v>5</v>
      </c>
      <c r="G85" s="172">
        <f t="shared" si="14"/>
        <v>0.35000000000000003</v>
      </c>
      <c r="H85" s="172"/>
      <c r="I85" s="172">
        <v>5</v>
      </c>
      <c r="J85" s="172">
        <f t="shared" si="15"/>
        <v>0.35000000000000003</v>
      </c>
      <c r="K85" s="172"/>
      <c r="L85" s="512">
        <f t="shared" si="12"/>
        <v>0</v>
      </c>
      <c r="M85" s="512">
        <f t="shared" si="13"/>
        <v>0</v>
      </c>
      <c r="N85" s="172">
        <v>0.35000000000000003</v>
      </c>
      <c r="O85" s="413">
        <v>1</v>
      </c>
      <c r="P85" s="988"/>
    </row>
    <row r="86" spans="1:16" s="170" customFormat="1" ht="14.25">
      <c r="A86" s="1696"/>
      <c r="B86" s="1697"/>
      <c r="C86" s="171" t="s">
        <v>934</v>
      </c>
      <c r="D86" s="173" t="s">
        <v>935</v>
      </c>
      <c r="E86" s="172">
        <v>5</v>
      </c>
      <c r="F86" s="172">
        <v>5</v>
      </c>
      <c r="G86" s="172">
        <f t="shared" si="14"/>
        <v>0.35000000000000003</v>
      </c>
      <c r="H86" s="172"/>
      <c r="I86" s="172">
        <v>5</v>
      </c>
      <c r="J86" s="172">
        <f t="shared" si="15"/>
        <v>0.35000000000000003</v>
      </c>
      <c r="K86" s="172"/>
      <c r="L86" s="512">
        <f t="shared" si="12"/>
        <v>0</v>
      </c>
      <c r="M86" s="512">
        <f t="shared" si="13"/>
        <v>0</v>
      </c>
      <c r="N86" s="172">
        <v>0.35000000000000003</v>
      </c>
      <c r="O86" s="413">
        <v>1</v>
      </c>
      <c r="P86" s="988"/>
    </row>
    <row r="87" spans="1:16" s="170" customFormat="1" ht="14.25">
      <c r="A87" s="1696"/>
      <c r="B87" s="1697"/>
      <c r="C87" s="171" t="s">
        <v>936</v>
      </c>
      <c r="D87" s="173" t="s">
        <v>937</v>
      </c>
      <c r="E87" s="172">
        <v>5</v>
      </c>
      <c r="F87" s="172">
        <v>5</v>
      </c>
      <c r="G87" s="172">
        <f t="shared" si="14"/>
        <v>0.35000000000000003</v>
      </c>
      <c r="H87" s="172"/>
      <c r="I87" s="172">
        <v>5</v>
      </c>
      <c r="J87" s="172">
        <f t="shared" si="15"/>
        <v>0.35000000000000003</v>
      </c>
      <c r="K87" s="172"/>
      <c r="L87" s="512">
        <f t="shared" si="12"/>
        <v>0</v>
      </c>
      <c r="M87" s="512">
        <f t="shared" si="13"/>
        <v>0</v>
      </c>
      <c r="N87" s="172">
        <v>0.35000000000000003</v>
      </c>
      <c r="O87" s="413">
        <v>1</v>
      </c>
      <c r="P87" s="988"/>
    </row>
    <row r="88" spans="1:16" s="170" customFormat="1" ht="14.25">
      <c r="A88" s="1696"/>
      <c r="B88" s="1697"/>
      <c r="C88" s="171" t="s">
        <v>938</v>
      </c>
      <c r="D88" s="173" t="s">
        <v>939</v>
      </c>
      <c r="E88" s="172">
        <v>5</v>
      </c>
      <c r="F88" s="172">
        <v>5</v>
      </c>
      <c r="G88" s="172">
        <f t="shared" si="14"/>
        <v>0.35000000000000003</v>
      </c>
      <c r="H88" s="172"/>
      <c r="I88" s="172">
        <v>5</v>
      </c>
      <c r="J88" s="172">
        <f t="shared" si="15"/>
        <v>0.35000000000000003</v>
      </c>
      <c r="K88" s="172"/>
      <c r="L88" s="512">
        <f t="shared" si="12"/>
        <v>0</v>
      </c>
      <c r="M88" s="512">
        <f t="shared" si="13"/>
        <v>0</v>
      </c>
      <c r="N88" s="172">
        <v>0.35000000000000003</v>
      </c>
      <c r="O88" s="413">
        <v>1</v>
      </c>
      <c r="P88" s="988"/>
    </row>
    <row r="89" spans="1:16" s="170" customFormat="1" ht="27">
      <c r="A89" s="1696"/>
      <c r="B89" s="1697" t="s">
        <v>940</v>
      </c>
      <c r="C89" s="171" t="s">
        <v>941</v>
      </c>
      <c r="D89" s="173" t="s">
        <v>942</v>
      </c>
      <c r="E89" s="172">
        <v>6</v>
      </c>
      <c r="F89" s="172">
        <v>6</v>
      </c>
      <c r="G89" s="172">
        <f t="shared" si="14"/>
        <v>0.42000000000000004</v>
      </c>
      <c r="H89" s="172"/>
      <c r="I89" s="172">
        <v>6</v>
      </c>
      <c r="J89" s="172">
        <f t="shared" si="15"/>
        <v>0.42000000000000004</v>
      </c>
      <c r="K89" s="172"/>
      <c r="L89" s="512">
        <f t="shared" si="12"/>
        <v>0</v>
      </c>
      <c r="M89" s="512">
        <f t="shared" si="13"/>
        <v>0</v>
      </c>
      <c r="N89" s="172">
        <v>0.42000000000000004</v>
      </c>
      <c r="O89" s="413">
        <v>1</v>
      </c>
      <c r="P89" s="988"/>
    </row>
    <row r="90" spans="1:16" s="170" customFormat="1" ht="27">
      <c r="A90" s="1696"/>
      <c r="B90" s="1697"/>
      <c r="C90" s="171" t="s">
        <v>943</v>
      </c>
      <c r="D90" s="173" t="s">
        <v>944</v>
      </c>
      <c r="E90" s="172">
        <v>10</v>
      </c>
      <c r="F90" s="445">
        <v>5</v>
      </c>
      <c r="G90" s="172">
        <f t="shared" si="14"/>
        <v>0.35000000000000003</v>
      </c>
      <c r="H90" s="172"/>
      <c r="I90" s="445">
        <v>5</v>
      </c>
      <c r="J90" s="172">
        <f t="shared" si="15"/>
        <v>0.35000000000000003</v>
      </c>
      <c r="K90" s="172"/>
      <c r="L90" s="512">
        <f t="shared" si="12"/>
        <v>0</v>
      </c>
      <c r="M90" s="512">
        <f t="shared" si="13"/>
        <v>5</v>
      </c>
      <c r="N90" s="172">
        <v>0.70000000000000007</v>
      </c>
      <c r="O90" s="413">
        <v>1</v>
      </c>
      <c r="P90" s="988"/>
    </row>
    <row r="91" spans="1:16" s="170" customFormat="1" ht="27">
      <c r="A91" s="1696"/>
      <c r="B91" s="1697"/>
      <c r="C91" s="171" t="s">
        <v>945</v>
      </c>
      <c r="D91" s="173" t="s">
        <v>946</v>
      </c>
      <c r="E91" s="172">
        <v>4</v>
      </c>
      <c r="F91" s="445">
        <v>3</v>
      </c>
      <c r="G91" s="172">
        <f t="shared" si="14"/>
        <v>0.21000000000000002</v>
      </c>
      <c r="H91" s="172"/>
      <c r="I91" s="445">
        <v>3</v>
      </c>
      <c r="J91" s="172">
        <f t="shared" si="15"/>
        <v>0.21000000000000002</v>
      </c>
      <c r="K91" s="172"/>
      <c r="L91" s="512">
        <f t="shared" si="12"/>
        <v>0</v>
      </c>
      <c r="M91" s="512">
        <f t="shared" si="13"/>
        <v>1</v>
      </c>
      <c r="N91" s="172">
        <v>0.28000000000000003</v>
      </c>
      <c r="O91" s="414">
        <v>1</v>
      </c>
      <c r="P91" s="988"/>
    </row>
    <row r="92" spans="1:16" s="170" customFormat="1" ht="14.25">
      <c r="A92" s="1696"/>
      <c r="B92" s="1697" t="s">
        <v>947</v>
      </c>
      <c r="C92" s="171" t="s">
        <v>948</v>
      </c>
      <c r="D92" s="173" t="s">
        <v>949</v>
      </c>
      <c r="E92" s="172">
        <v>4</v>
      </c>
      <c r="F92" s="172">
        <v>4</v>
      </c>
      <c r="G92" s="172">
        <f t="shared" si="14"/>
        <v>0.28000000000000003</v>
      </c>
      <c r="H92" s="172"/>
      <c r="I92" s="172">
        <v>4</v>
      </c>
      <c r="J92" s="172">
        <f t="shared" si="15"/>
        <v>0.28000000000000003</v>
      </c>
      <c r="K92" s="172"/>
      <c r="L92" s="512">
        <f t="shared" si="12"/>
        <v>0</v>
      </c>
      <c r="M92" s="512">
        <f t="shared" si="13"/>
        <v>0</v>
      </c>
      <c r="N92" s="172">
        <v>0.28000000000000003</v>
      </c>
      <c r="O92" s="413">
        <v>1</v>
      </c>
      <c r="P92" s="988"/>
    </row>
    <row r="93" spans="1:16" s="170" customFormat="1" ht="14.25">
      <c r="A93" s="1696"/>
      <c r="B93" s="1697"/>
      <c r="C93" s="171" t="s">
        <v>950</v>
      </c>
      <c r="D93" s="173" t="s">
        <v>951</v>
      </c>
      <c r="E93" s="172">
        <v>2</v>
      </c>
      <c r="F93" s="172">
        <v>2</v>
      </c>
      <c r="G93" s="172">
        <f t="shared" si="14"/>
        <v>0.14000000000000001</v>
      </c>
      <c r="H93" s="172"/>
      <c r="I93" s="172">
        <v>2</v>
      </c>
      <c r="J93" s="172">
        <f t="shared" si="15"/>
        <v>0.14000000000000001</v>
      </c>
      <c r="K93" s="172"/>
      <c r="L93" s="512">
        <f t="shared" si="12"/>
        <v>0</v>
      </c>
      <c r="M93" s="512">
        <f t="shared" si="13"/>
        <v>0</v>
      </c>
      <c r="N93" s="172">
        <v>0.14000000000000001</v>
      </c>
      <c r="O93" s="413">
        <v>1</v>
      </c>
      <c r="P93" s="988"/>
    </row>
    <row r="94" spans="1:16" s="170" customFormat="1" ht="14.25">
      <c r="A94" s="1696"/>
      <c r="B94" s="1697"/>
      <c r="C94" s="171" t="s">
        <v>952</v>
      </c>
      <c r="D94" s="173" t="s">
        <v>953</v>
      </c>
      <c r="E94" s="172">
        <v>2</v>
      </c>
      <c r="F94" s="172">
        <v>2</v>
      </c>
      <c r="G94" s="172">
        <f t="shared" si="14"/>
        <v>0.14000000000000001</v>
      </c>
      <c r="H94" s="172"/>
      <c r="I94" s="172">
        <v>2</v>
      </c>
      <c r="J94" s="172">
        <f t="shared" si="15"/>
        <v>0.14000000000000001</v>
      </c>
      <c r="K94" s="172"/>
      <c r="L94" s="512">
        <f t="shared" si="12"/>
        <v>0</v>
      </c>
      <c r="M94" s="512">
        <f t="shared" si="13"/>
        <v>0</v>
      </c>
      <c r="N94" s="172">
        <v>0.14000000000000001</v>
      </c>
      <c r="O94" s="413">
        <v>1</v>
      </c>
      <c r="P94" s="988"/>
    </row>
    <row r="95" spans="1:16" s="170" customFormat="1" ht="14.25">
      <c r="A95" s="1696"/>
      <c r="B95" s="1697"/>
      <c r="C95" s="171" t="s">
        <v>954</v>
      </c>
      <c r="D95" s="173" t="s">
        <v>955</v>
      </c>
      <c r="E95" s="172">
        <v>2</v>
      </c>
      <c r="F95" s="172">
        <v>2</v>
      </c>
      <c r="G95" s="172">
        <f t="shared" si="14"/>
        <v>0.14000000000000001</v>
      </c>
      <c r="H95" s="172">
        <f>SUM(F76:F95)*0.07</f>
        <v>6.580000000000001</v>
      </c>
      <c r="I95" s="172">
        <v>2</v>
      </c>
      <c r="J95" s="172">
        <f t="shared" si="15"/>
        <v>0.14000000000000001</v>
      </c>
      <c r="K95" s="172">
        <f>SUM(I76:I95)*0.07</f>
        <v>6.580000000000001</v>
      </c>
      <c r="L95" s="512">
        <f t="shared" si="12"/>
        <v>0</v>
      </c>
      <c r="M95" s="512">
        <f t="shared" si="13"/>
        <v>0</v>
      </c>
      <c r="N95" s="172">
        <v>0.14000000000000001</v>
      </c>
      <c r="O95" s="413">
        <v>1</v>
      </c>
      <c r="P95" s="988"/>
    </row>
    <row r="96" spans="1:16" s="170" customFormat="1" ht="54">
      <c r="A96" s="1696" t="s">
        <v>956</v>
      </c>
      <c r="B96" s="1697" t="s">
        <v>957</v>
      </c>
      <c r="C96" s="171" t="s">
        <v>958</v>
      </c>
      <c r="D96" s="173" t="s">
        <v>959</v>
      </c>
      <c r="E96" s="172">
        <v>10</v>
      </c>
      <c r="F96" s="172">
        <v>10</v>
      </c>
      <c r="G96" s="172">
        <f t="shared" ref="G96:G131" si="16">F96*0.05</f>
        <v>0.5</v>
      </c>
      <c r="H96" s="172"/>
      <c r="I96" s="172">
        <v>10</v>
      </c>
      <c r="J96" s="172">
        <f t="shared" ref="J96:J131" si="17">I96*0.05</f>
        <v>0.5</v>
      </c>
      <c r="K96" s="172"/>
      <c r="L96" s="512">
        <f t="shared" si="12"/>
        <v>0</v>
      </c>
      <c r="M96" s="512">
        <f t="shared" si="13"/>
        <v>0</v>
      </c>
      <c r="N96" s="172">
        <v>0.5</v>
      </c>
      <c r="O96" s="413">
        <v>1</v>
      </c>
      <c r="P96" s="988"/>
    </row>
    <row r="97" spans="1:16" s="170" customFormat="1" ht="27.75" customHeight="1">
      <c r="A97" s="1696"/>
      <c r="B97" s="1697"/>
      <c r="C97" s="171" t="s">
        <v>960</v>
      </c>
      <c r="D97" s="173" t="s">
        <v>961</v>
      </c>
      <c r="E97" s="172">
        <v>10</v>
      </c>
      <c r="F97" s="172">
        <v>10</v>
      </c>
      <c r="G97" s="172">
        <f t="shared" si="16"/>
        <v>0.5</v>
      </c>
      <c r="H97" s="172"/>
      <c r="I97" s="172">
        <v>10</v>
      </c>
      <c r="J97" s="172">
        <f t="shared" si="17"/>
        <v>0.5</v>
      </c>
      <c r="K97" s="172"/>
      <c r="L97" s="512">
        <f t="shared" si="12"/>
        <v>0</v>
      </c>
      <c r="M97" s="512">
        <f t="shared" si="13"/>
        <v>0</v>
      </c>
      <c r="N97" s="172">
        <v>0.5</v>
      </c>
      <c r="O97" s="413">
        <v>1</v>
      </c>
      <c r="P97" s="988"/>
    </row>
    <row r="98" spans="1:16" s="170" customFormat="1" ht="27">
      <c r="A98" s="1696"/>
      <c r="B98" s="1697" t="s">
        <v>962</v>
      </c>
      <c r="C98" s="171" t="s">
        <v>963</v>
      </c>
      <c r="D98" s="173" t="s">
        <v>964</v>
      </c>
      <c r="E98" s="172">
        <v>20</v>
      </c>
      <c r="F98" s="172">
        <v>20</v>
      </c>
      <c r="G98" s="172">
        <f t="shared" si="16"/>
        <v>1</v>
      </c>
      <c r="H98" s="172"/>
      <c r="I98" s="172">
        <v>20</v>
      </c>
      <c r="J98" s="172">
        <f t="shared" si="17"/>
        <v>1</v>
      </c>
      <c r="K98" s="172"/>
      <c r="L98" s="512">
        <f t="shared" si="12"/>
        <v>0</v>
      </c>
      <c r="M98" s="512">
        <f t="shared" si="13"/>
        <v>0</v>
      </c>
      <c r="N98" s="172">
        <v>1</v>
      </c>
      <c r="O98" s="413">
        <v>1</v>
      </c>
      <c r="P98" s="988"/>
    </row>
    <row r="99" spans="1:16" s="170" customFormat="1" ht="14.25">
      <c r="A99" s="1696"/>
      <c r="B99" s="1697"/>
      <c r="C99" s="171" t="s">
        <v>965</v>
      </c>
      <c r="D99" s="173" t="s">
        <v>966</v>
      </c>
      <c r="E99" s="172">
        <v>10</v>
      </c>
      <c r="F99" s="172">
        <v>10</v>
      </c>
      <c r="G99" s="172">
        <f t="shared" si="16"/>
        <v>0.5</v>
      </c>
      <c r="H99" s="172"/>
      <c r="I99" s="172">
        <v>10</v>
      </c>
      <c r="J99" s="172">
        <f t="shared" si="17"/>
        <v>0.5</v>
      </c>
      <c r="K99" s="172"/>
      <c r="L99" s="512">
        <f t="shared" ref="L99:L131" si="18">I99-F99</f>
        <v>0</v>
      </c>
      <c r="M99" s="512">
        <f t="shared" ref="M99:M114" si="19">E99-I99</f>
        <v>0</v>
      </c>
      <c r="N99" s="172">
        <v>0.5</v>
      </c>
      <c r="O99" s="413">
        <v>1</v>
      </c>
      <c r="P99" s="988"/>
    </row>
    <row r="100" spans="1:16" s="170" customFormat="1" ht="40.5">
      <c r="A100" s="1696"/>
      <c r="B100" s="1697"/>
      <c r="C100" s="171" t="s">
        <v>967</v>
      </c>
      <c r="D100" s="173" t="s">
        <v>968</v>
      </c>
      <c r="E100" s="172">
        <v>10</v>
      </c>
      <c r="F100" s="172">
        <v>10</v>
      </c>
      <c r="G100" s="172">
        <f t="shared" si="16"/>
        <v>0.5</v>
      </c>
      <c r="H100" s="172"/>
      <c r="I100" s="172">
        <v>10</v>
      </c>
      <c r="J100" s="172">
        <f t="shared" si="17"/>
        <v>0.5</v>
      </c>
      <c r="K100" s="172"/>
      <c r="L100" s="512">
        <f t="shared" si="18"/>
        <v>0</v>
      </c>
      <c r="M100" s="512">
        <f t="shared" si="19"/>
        <v>0</v>
      </c>
      <c r="N100" s="172">
        <v>0.5</v>
      </c>
      <c r="O100" s="414">
        <v>1</v>
      </c>
      <c r="P100" s="988"/>
    </row>
    <row r="101" spans="1:16" s="170" customFormat="1" ht="27">
      <c r="A101" s="1696"/>
      <c r="B101" s="1697"/>
      <c r="C101" s="171" t="s">
        <v>969</v>
      </c>
      <c r="D101" s="173" t="s">
        <v>970</v>
      </c>
      <c r="E101" s="172">
        <v>10</v>
      </c>
      <c r="F101" s="172">
        <v>10</v>
      </c>
      <c r="G101" s="172">
        <f t="shared" si="16"/>
        <v>0.5</v>
      </c>
      <c r="H101" s="172"/>
      <c r="I101" s="172">
        <v>10</v>
      </c>
      <c r="J101" s="172">
        <f t="shared" si="17"/>
        <v>0.5</v>
      </c>
      <c r="K101" s="172"/>
      <c r="L101" s="512">
        <f t="shared" si="18"/>
        <v>0</v>
      </c>
      <c r="M101" s="512">
        <f t="shared" si="19"/>
        <v>0</v>
      </c>
      <c r="N101" s="172">
        <v>0.5</v>
      </c>
      <c r="O101" s="413">
        <v>1</v>
      </c>
      <c r="P101" s="988"/>
    </row>
    <row r="102" spans="1:16" s="170" customFormat="1" ht="14.25">
      <c r="A102" s="1696"/>
      <c r="B102" s="1697" t="s">
        <v>971</v>
      </c>
      <c r="C102" s="181" t="s">
        <v>972</v>
      </c>
      <c r="D102" s="180" t="s">
        <v>973</v>
      </c>
      <c r="E102" s="172">
        <v>10</v>
      </c>
      <c r="F102" s="172">
        <v>10</v>
      </c>
      <c r="G102" s="172">
        <f t="shared" si="16"/>
        <v>0.5</v>
      </c>
      <c r="H102" s="172"/>
      <c r="I102" s="172">
        <v>10</v>
      </c>
      <c r="J102" s="172">
        <f t="shared" si="17"/>
        <v>0.5</v>
      </c>
      <c r="K102" s="172"/>
      <c r="L102" s="512">
        <f t="shared" si="18"/>
        <v>0</v>
      </c>
      <c r="M102" s="512">
        <f t="shared" si="19"/>
        <v>0</v>
      </c>
      <c r="N102" s="172">
        <v>0.5</v>
      </c>
      <c r="O102" s="413">
        <v>1</v>
      </c>
      <c r="P102" s="988"/>
    </row>
    <row r="103" spans="1:16" s="170" customFormat="1" ht="14.25">
      <c r="A103" s="1696"/>
      <c r="B103" s="1697"/>
      <c r="C103" s="171" t="s">
        <v>974</v>
      </c>
      <c r="D103" s="439" t="s">
        <v>975</v>
      </c>
      <c r="E103" s="172">
        <v>10</v>
      </c>
      <c r="F103" s="445">
        <v>5</v>
      </c>
      <c r="G103" s="172">
        <f t="shared" si="16"/>
        <v>0.25</v>
      </c>
      <c r="H103" s="172"/>
      <c r="I103" s="445">
        <v>5</v>
      </c>
      <c r="J103" s="172">
        <f t="shared" si="17"/>
        <v>0.25</v>
      </c>
      <c r="K103" s="172"/>
      <c r="L103" s="512">
        <f t="shared" si="18"/>
        <v>0</v>
      </c>
      <c r="M103" s="512">
        <f t="shared" si="19"/>
        <v>5</v>
      </c>
      <c r="N103" s="172">
        <v>0.5</v>
      </c>
      <c r="O103" s="414">
        <v>1</v>
      </c>
      <c r="P103" s="988"/>
    </row>
    <row r="104" spans="1:16" s="170" customFormat="1" ht="27">
      <c r="A104" s="1696"/>
      <c r="B104" s="1697"/>
      <c r="C104" s="171" t="s">
        <v>976</v>
      </c>
      <c r="D104" s="173" t="s">
        <v>977</v>
      </c>
      <c r="E104" s="172">
        <v>10</v>
      </c>
      <c r="F104" s="172">
        <v>10</v>
      </c>
      <c r="G104" s="172">
        <f t="shared" si="16"/>
        <v>0.5</v>
      </c>
      <c r="H104" s="172">
        <f>SUM(F96:F104)*0.05</f>
        <v>4.75</v>
      </c>
      <c r="I104" s="172">
        <v>10</v>
      </c>
      <c r="J104" s="172">
        <f t="shared" si="17"/>
        <v>0.5</v>
      </c>
      <c r="K104" s="172">
        <f>SUM(I96:I104)*0.05</f>
        <v>4.75</v>
      </c>
      <c r="L104" s="512">
        <f t="shared" si="18"/>
        <v>0</v>
      </c>
      <c r="M104" s="512">
        <f t="shared" si="19"/>
        <v>0</v>
      </c>
      <c r="N104" s="172">
        <v>0.5</v>
      </c>
      <c r="O104" s="413">
        <v>1</v>
      </c>
      <c r="P104" s="988"/>
    </row>
    <row r="105" spans="1:16" s="170" customFormat="1" ht="27">
      <c r="A105" s="1696" t="s">
        <v>978</v>
      </c>
      <c r="B105" s="1697" t="s">
        <v>979</v>
      </c>
      <c r="C105" s="171" t="s">
        <v>980</v>
      </c>
      <c r="D105" s="173" t="s">
        <v>981</v>
      </c>
      <c r="E105" s="172">
        <v>10</v>
      </c>
      <c r="F105" s="172">
        <v>10</v>
      </c>
      <c r="G105" s="172">
        <f t="shared" si="16"/>
        <v>0.5</v>
      </c>
      <c r="H105" s="172"/>
      <c r="I105" s="172">
        <v>10</v>
      </c>
      <c r="J105" s="172">
        <f t="shared" si="17"/>
        <v>0.5</v>
      </c>
      <c r="K105" s="172"/>
      <c r="L105" s="512">
        <f t="shared" si="18"/>
        <v>0</v>
      </c>
      <c r="M105" s="512">
        <f t="shared" si="19"/>
        <v>0</v>
      </c>
      <c r="N105" s="172">
        <v>0.5</v>
      </c>
      <c r="O105" s="413">
        <v>1</v>
      </c>
      <c r="P105" s="988"/>
    </row>
    <row r="106" spans="1:16" s="170" customFormat="1" ht="40.5">
      <c r="A106" s="1696"/>
      <c r="B106" s="1697"/>
      <c r="C106" s="171" t="s">
        <v>982</v>
      </c>
      <c r="D106" s="173" t="s">
        <v>983</v>
      </c>
      <c r="E106" s="172">
        <v>5</v>
      </c>
      <c r="F106" s="172">
        <v>5</v>
      </c>
      <c r="G106" s="172">
        <f t="shared" si="16"/>
        <v>0.25</v>
      </c>
      <c r="H106" s="172"/>
      <c r="I106" s="172">
        <v>5</v>
      </c>
      <c r="J106" s="172">
        <f t="shared" si="17"/>
        <v>0.25</v>
      </c>
      <c r="K106" s="172"/>
      <c r="L106" s="512">
        <f t="shared" si="18"/>
        <v>0</v>
      </c>
      <c r="M106" s="512">
        <f t="shared" si="19"/>
        <v>0</v>
      </c>
      <c r="N106" s="172">
        <v>0.25</v>
      </c>
      <c r="O106" s="413">
        <v>1</v>
      </c>
      <c r="P106" s="988"/>
    </row>
    <row r="107" spans="1:16" s="170" customFormat="1" ht="27">
      <c r="A107" s="1696"/>
      <c r="B107" s="1697"/>
      <c r="C107" s="171" t="s">
        <v>984</v>
      </c>
      <c r="D107" s="173" t="s">
        <v>985</v>
      </c>
      <c r="E107" s="172">
        <v>5</v>
      </c>
      <c r="F107" s="172">
        <v>5</v>
      </c>
      <c r="G107" s="172">
        <f t="shared" si="16"/>
        <v>0.25</v>
      </c>
      <c r="H107" s="172"/>
      <c r="I107" s="172">
        <v>5</v>
      </c>
      <c r="J107" s="172">
        <f t="shared" si="17"/>
        <v>0.25</v>
      </c>
      <c r="K107" s="172"/>
      <c r="L107" s="512">
        <f t="shared" si="18"/>
        <v>0</v>
      </c>
      <c r="M107" s="512">
        <f t="shared" si="19"/>
        <v>0</v>
      </c>
      <c r="N107" s="172">
        <v>0.25</v>
      </c>
      <c r="O107" s="413">
        <v>1</v>
      </c>
      <c r="P107" s="988"/>
    </row>
    <row r="108" spans="1:16" s="170" customFormat="1" ht="27">
      <c r="A108" s="1696"/>
      <c r="B108" s="1697" t="s">
        <v>986</v>
      </c>
      <c r="C108" s="171" t="s">
        <v>987</v>
      </c>
      <c r="D108" s="173" t="s">
        <v>988</v>
      </c>
      <c r="E108" s="172">
        <v>5</v>
      </c>
      <c r="F108" s="172"/>
      <c r="G108" s="172">
        <f t="shared" si="16"/>
        <v>0</v>
      </c>
      <c r="H108" s="172"/>
      <c r="I108" s="172"/>
      <c r="J108" s="172">
        <f t="shared" si="17"/>
        <v>0</v>
      </c>
      <c r="K108" s="172"/>
      <c r="L108" s="512">
        <f t="shared" si="18"/>
        <v>0</v>
      </c>
      <c r="M108" s="512">
        <f t="shared" si="19"/>
        <v>5</v>
      </c>
      <c r="N108" s="172">
        <v>0</v>
      </c>
      <c r="O108" s="413">
        <v>1</v>
      </c>
      <c r="P108" s="988"/>
    </row>
    <row r="109" spans="1:16" s="170" customFormat="1" ht="27">
      <c r="A109" s="1696"/>
      <c r="B109" s="1697"/>
      <c r="C109" s="171" t="s">
        <v>989</v>
      </c>
      <c r="D109" s="173" t="s">
        <v>990</v>
      </c>
      <c r="E109" s="172">
        <v>10</v>
      </c>
      <c r="F109" s="172"/>
      <c r="G109" s="172">
        <f t="shared" si="16"/>
        <v>0</v>
      </c>
      <c r="H109" s="172"/>
      <c r="I109" s="172"/>
      <c r="J109" s="172">
        <f t="shared" si="17"/>
        <v>0</v>
      </c>
      <c r="K109" s="172"/>
      <c r="L109" s="512">
        <f t="shared" si="18"/>
        <v>0</v>
      </c>
      <c r="M109" s="512">
        <f t="shared" si="19"/>
        <v>10</v>
      </c>
      <c r="N109" s="172">
        <v>0</v>
      </c>
      <c r="O109" s="413">
        <v>1</v>
      </c>
      <c r="P109" s="988"/>
    </row>
    <row r="110" spans="1:16" s="170" customFormat="1" ht="27">
      <c r="A110" s="1696"/>
      <c r="B110" s="1697"/>
      <c r="C110" s="171" t="s">
        <v>991</v>
      </c>
      <c r="D110" s="173" t="s">
        <v>992</v>
      </c>
      <c r="E110" s="172">
        <v>10</v>
      </c>
      <c r="F110" s="172"/>
      <c r="G110" s="172">
        <f t="shared" si="16"/>
        <v>0</v>
      </c>
      <c r="H110" s="172"/>
      <c r="I110" s="172"/>
      <c r="J110" s="172">
        <f t="shared" si="17"/>
        <v>0</v>
      </c>
      <c r="K110" s="172"/>
      <c r="L110" s="512">
        <f t="shared" si="18"/>
        <v>0</v>
      </c>
      <c r="M110" s="512">
        <f t="shared" si="19"/>
        <v>10</v>
      </c>
      <c r="N110" s="172">
        <v>0</v>
      </c>
      <c r="O110" s="413">
        <v>1</v>
      </c>
      <c r="P110" s="988"/>
    </row>
    <row r="111" spans="1:16" s="170" customFormat="1" ht="14.25">
      <c r="A111" s="1696"/>
      <c r="B111" s="1697"/>
      <c r="C111" s="171" t="s">
        <v>993</v>
      </c>
      <c r="D111" s="173" t="s">
        <v>994</v>
      </c>
      <c r="E111" s="172">
        <v>10</v>
      </c>
      <c r="F111" s="172"/>
      <c r="G111" s="172">
        <f t="shared" si="16"/>
        <v>0</v>
      </c>
      <c r="H111" s="172"/>
      <c r="I111" s="172"/>
      <c r="J111" s="172">
        <f t="shared" si="17"/>
        <v>0</v>
      </c>
      <c r="K111" s="172"/>
      <c r="L111" s="512">
        <f t="shared" si="18"/>
        <v>0</v>
      </c>
      <c r="M111" s="512">
        <f t="shared" si="19"/>
        <v>10</v>
      </c>
      <c r="N111" s="172">
        <v>0</v>
      </c>
      <c r="O111" s="413">
        <v>1</v>
      </c>
      <c r="P111" s="988"/>
    </row>
    <row r="112" spans="1:16" s="170" customFormat="1" ht="14.25">
      <c r="A112" s="1696"/>
      <c r="B112" s="1697"/>
      <c r="C112" s="171" t="s">
        <v>995</v>
      </c>
      <c r="D112" s="173" t="s">
        <v>996</v>
      </c>
      <c r="E112" s="172">
        <v>5</v>
      </c>
      <c r="F112" s="172"/>
      <c r="G112" s="172">
        <f t="shared" si="16"/>
        <v>0</v>
      </c>
      <c r="H112" s="172"/>
      <c r="I112" s="172"/>
      <c r="J112" s="172">
        <f t="shared" si="17"/>
        <v>0</v>
      </c>
      <c r="K112" s="172"/>
      <c r="L112" s="512">
        <f t="shared" si="18"/>
        <v>0</v>
      </c>
      <c r="M112" s="512">
        <f t="shared" si="19"/>
        <v>5</v>
      </c>
      <c r="N112" s="172">
        <v>0</v>
      </c>
      <c r="O112" s="413">
        <v>1</v>
      </c>
      <c r="P112" s="988"/>
    </row>
    <row r="113" spans="1:16" s="170" customFormat="1" ht="40.5">
      <c r="A113" s="1696"/>
      <c r="B113" s="1697"/>
      <c r="C113" s="171" t="s">
        <v>997</v>
      </c>
      <c r="D113" s="173" t="s">
        <v>998</v>
      </c>
      <c r="E113" s="172">
        <v>10</v>
      </c>
      <c r="F113" s="172"/>
      <c r="G113" s="172">
        <f t="shared" si="16"/>
        <v>0</v>
      </c>
      <c r="H113" s="172"/>
      <c r="I113" s="172"/>
      <c r="J113" s="172">
        <f t="shared" si="17"/>
        <v>0</v>
      </c>
      <c r="K113" s="172"/>
      <c r="L113" s="512">
        <f t="shared" si="18"/>
        <v>0</v>
      </c>
      <c r="M113" s="512">
        <f t="shared" si="19"/>
        <v>10</v>
      </c>
      <c r="N113" s="172">
        <v>0</v>
      </c>
      <c r="O113" s="413">
        <v>1</v>
      </c>
      <c r="P113" s="988"/>
    </row>
    <row r="114" spans="1:16" s="170" customFormat="1" ht="14.25">
      <c r="A114" s="1696"/>
      <c r="B114" s="1697"/>
      <c r="C114" s="171" t="s">
        <v>999</v>
      </c>
      <c r="D114" s="173" t="s">
        <v>1000</v>
      </c>
      <c r="E114" s="172">
        <v>10</v>
      </c>
      <c r="F114" s="172"/>
      <c r="G114" s="172">
        <f t="shared" si="16"/>
        <v>0</v>
      </c>
      <c r="H114" s="172"/>
      <c r="I114" s="172"/>
      <c r="J114" s="172">
        <f t="shared" si="17"/>
        <v>0</v>
      </c>
      <c r="K114" s="172"/>
      <c r="L114" s="512">
        <f t="shared" si="18"/>
        <v>0</v>
      </c>
      <c r="M114" s="512">
        <f t="shared" si="19"/>
        <v>10</v>
      </c>
      <c r="N114" s="172">
        <v>0</v>
      </c>
      <c r="O114" s="413">
        <v>1</v>
      </c>
      <c r="P114" s="988"/>
    </row>
    <row r="115" spans="1:16" s="170" customFormat="1" ht="27" customHeight="1">
      <c r="A115" s="1696"/>
      <c r="B115" s="1697"/>
      <c r="C115" s="181" t="s">
        <v>1001</v>
      </c>
      <c r="D115" s="180" t="s">
        <v>1003</v>
      </c>
      <c r="E115" s="172" t="s">
        <v>1002</v>
      </c>
      <c r="F115" s="172">
        <v>60</v>
      </c>
      <c r="G115" s="172">
        <f t="shared" si="16"/>
        <v>3</v>
      </c>
      <c r="H115" s="172"/>
      <c r="I115" s="172">
        <v>60</v>
      </c>
      <c r="J115" s="172">
        <f t="shared" si="17"/>
        <v>3</v>
      </c>
      <c r="K115" s="172"/>
      <c r="L115" s="512">
        <f t="shared" si="18"/>
        <v>0</v>
      </c>
      <c r="M115" s="512"/>
      <c r="N115" s="172">
        <v>3</v>
      </c>
      <c r="O115" s="413">
        <v>1</v>
      </c>
      <c r="P115" s="988"/>
    </row>
    <row r="116" spans="1:16" s="170" customFormat="1" ht="14.25">
      <c r="A116" s="1696"/>
      <c r="B116" s="1697" t="s">
        <v>1004</v>
      </c>
      <c r="C116" s="171" t="s">
        <v>1005</v>
      </c>
      <c r="D116" s="173" t="s">
        <v>1006</v>
      </c>
      <c r="E116" s="172">
        <v>10</v>
      </c>
      <c r="F116" s="172">
        <v>10</v>
      </c>
      <c r="G116" s="172">
        <f t="shared" si="16"/>
        <v>0.5</v>
      </c>
      <c r="H116" s="172"/>
      <c r="I116" s="172">
        <v>10</v>
      </c>
      <c r="J116" s="172">
        <f t="shared" si="17"/>
        <v>0.5</v>
      </c>
      <c r="K116" s="172"/>
      <c r="L116" s="512">
        <f t="shared" si="18"/>
        <v>0</v>
      </c>
      <c r="M116" s="512">
        <f t="shared" ref="M116:M131" si="20">E116-I116</f>
        <v>0</v>
      </c>
      <c r="N116" s="172">
        <v>0.5</v>
      </c>
      <c r="O116" s="413">
        <v>1</v>
      </c>
      <c r="P116" s="988"/>
    </row>
    <row r="117" spans="1:16" s="170" customFormat="1" ht="14.25">
      <c r="A117" s="1696"/>
      <c r="B117" s="1697"/>
      <c r="C117" s="171" t="s">
        <v>1007</v>
      </c>
      <c r="D117" s="173" t="s">
        <v>1008</v>
      </c>
      <c r="E117" s="172">
        <v>5</v>
      </c>
      <c r="F117" s="172">
        <v>5</v>
      </c>
      <c r="G117" s="172">
        <f t="shared" si="16"/>
        <v>0.25</v>
      </c>
      <c r="H117" s="172"/>
      <c r="I117" s="172">
        <v>5</v>
      </c>
      <c r="J117" s="172">
        <f t="shared" si="17"/>
        <v>0.25</v>
      </c>
      <c r="K117" s="172"/>
      <c r="L117" s="512">
        <f t="shared" si="18"/>
        <v>0</v>
      </c>
      <c r="M117" s="512">
        <f t="shared" si="20"/>
        <v>0</v>
      </c>
      <c r="N117" s="172">
        <v>0.25</v>
      </c>
      <c r="O117" s="413">
        <v>1</v>
      </c>
      <c r="P117" s="988"/>
    </row>
    <row r="118" spans="1:16" s="170" customFormat="1" ht="14.25">
      <c r="A118" s="1696"/>
      <c r="B118" s="1697"/>
      <c r="C118" s="171" t="s">
        <v>1009</v>
      </c>
      <c r="D118" s="173" t="s">
        <v>1010</v>
      </c>
      <c r="E118" s="172">
        <v>5</v>
      </c>
      <c r="F118" s="172">
        <v>5</v>
      </c>
      <c r="G118" s="172">
        <f t="shared" si="16"/>
        <v>0.25</v>
      </c>
      <c r="H118" s="172">
        <f>SUM(F105:F118)*0.05</f>
        <v>5</v>
      </c>
      <c r="I118" s="172">
        <v>5</v>
      </c>
      <c r="J118" s="172">
        <f t="shared" si="17"/>
        <v>0.25</v>
      </c>
      <c r="K118" s="172">
        <f>SUM(I105:I118)*0.05</f>
        <v>5</v>
      </c>
      <c r="L118" s="512">
        <f t="shared" si="18"/>
        <v>0</v>
      </c>
      <c r="M118" s="512">
        <f t="shared" si="20"/>
        <v>0</v>
      </c>
      <c r="N118" s="172">
        <v>0.25</v>
      </c>
      <c r="O118" s="413">
        <v>1</v>
      </c>
      <c r="P118" s="988"/>
    </row>
    <row r="119" spans="1:16" s="170" customFormat="1" ht="27">
      <c r="A119" s="1696" t="s">
        <v>1011</v>
      </c>
      <c r="B119" s="1697" t="s">
        <v>1012</v>
      </c>
      <c r="C119" s="171" t="s">
        <v>1013</v>
      </c>
      <c r="D119" s="173" t="s">
        <v>1014</v>
      </c>
      <c r="E119" s="172">
        <v>5</v>
      </c>
      <c r="F119" s="172">
        <v>0</v>
      </c>
      <c r="G119" s="172">
        <f t="shared" si="16"/>
        <v>0</v>
      </c>
      <c r="H119" s="172"/>
      <c r="I119" s="172">
        <v>0</v>
      </c>
      <c r="J119" s="172">
        <f t="shared" si="17"/>
        <v>0</v>
      </c>
      <c r="K119" s="172"/>
      <c r="L119" s="512">
        <f t="shared" si="18"/>
        <v>0</v>
      </c>
      <c r="M119" s="512">
        <f t="shared" si="20"/>
        <v>5</v>
      </c>
      <c r="N119" s="172">
        <v>0.25</v>
      </c>
      <c r="O119" s="413">
        <v>1</v>
      </c>
      <c r="P119" s="988"/>
    </row>
    <row r="120" spans="1:16" s="170" customFormat="1" ht="27">
      <c r="A120" s="1696"/>
      <c r="B120" s="1697"/>
      <c r="C120" s="171" t="s">
        <v>1015</v>
      </c>
      <c r="D120" s="439" t="s">
        <v>1016</v>
      </c>
      <c r="E120" s="172">
        <v>6</v>
      </c>
      <c r="F120" s="172">
        <v>6</v>
      </c>
      <c r="G120" s="172">
        <f t="shared" si="16"/>
        <v>0.30000000000000004</v>
      </c>
      <c r="H120" s="172"/>
      <c r="I120" s="172">
        <v>6</v>
      </c>
      <c r="J120" s="172">
        <f t="shared" si="17"/>
        <v>0.30000000000000004</v>
      </c>
      <c r="K120" s="172"/>
      <c r="L120" s="512">
        <f t="shared" si="18"/>
        <v>0</v>
      </c>
      <c r="M120" s="512">
        <f t="shared" si="20"/>
        <v>0</v>
      </c>
      <c r="N120" s="172">
        <v>0.30000000000000004</v>
      </c>
      <c r="O120" s="413">
        <v>1</v>
      </c>
      <c r="P120" s="988"/>
    </row>
    <row r="121" spans="1:16" s="170" customFormat="1" ht="27">
      <c r="A121" s="1696"/>
      <c r="B121" s="1697"/>
      <c r="C121" s="171" t="s">
        <v>1017</v>
      </c>
      <c r="D121" s="173" t="s">
        <v>1018</v>
      </c>
      <c r="E121" s="172">
        <v>4</v>
      </c>
      <c r="F121" s="172">
        <v>4</v>
      </c>
      <c r="G121" s="172">
        <f t="shared" si="16"/>
        <v>0.2</v>
      </c>
      <c r="H121" s="172"/>
      <c r="I121" s="172">
        <v>4</v>
      </c>
      <c r="J121" s="172">
        <f t="shared" si="17"/>
        <v>0.2</v>
      </c>
      <c r="K121" s="172"/>
      <c r="L121" s="512">
        <f t="shared" si="18"/>
        <v>0</v>
      </c>
      <c r="M121" s="512">
        <f t="shared" si="20"/>
        <v>0</v>
      </c>
      <c r="N121" s="172">
        <v>0.2</v>
      </c>
      <c r="O121" s="414">
        <v>1</v>
      </c>
      <c r="P121" s="988"/>
    </row>
    <row r="122" spans="1:16" s="170" customFormat="1" ht="14.25">
      <c r="A122" s="1696"/>
      <c r="B122" s="1697"/>
      <c r="C122" s="171" t="s">
        <v>1019</v>
      </c>
      <c r="D122" s="173" t="s">
        <v>1020</v>
      </c>
      <c r="E122" s="172">
        <v>10</v>
      </c>
      <c r="F122" s="172">
        <v>10</v>
      </c>
      <c r="G122" s="172">
        <f t="shared" si="16"/>
        <v>0.5</v>
      </c>
      <c r="H122" s="172"/>
      <c r="I122" s="172">
        <v>10</v>
      </c>
      <c r="J122" s="172">
        <f t="shared" si="17"/>
        <v>0.5</v>
      </c>
      <c r="K122" s="172"/>
      <c r="L122" s="512">
        <f t="shared" si="18"/>
        <v>0</v>
      </c>
      <c r="M122" s="512">
        <f t="shared" si="20"/>
        <v>0</v>
      </c>
      <c r="N122" s="172">
        <v>0.5</v>
      </c>
      <c r="O122" s="413">
        <v>1</v>
      </c>
      <c r="P122" s="988"/>
    </row>
    <row r="123" spans="1:16" s="170" customFormat="1" ht="27">
      <c r="A123" s="1696"/>
      <c r="B123" s="1697" t="s">
        <v>1021</v>
      </c>
      <c r="C123" s="171" t="s">
        <v>1022</v>
      </c>
      <c r="D123" s="173" t="s">
        <v>1023</v>
      </c>
      <c r="E123" s="172">
        <v>5</v>
      </c>
      <c r="F123" s="445">
        <v>0</v>
      </c>
      <c r="G123" s="172">
        <f t="shared" si="16"/>
        <v>0</v>
      </c>
      <c r="H123" s="172"/>
      <c r="I123" s="445">
        <v>0</v>
      </c>
      <c r="J123" s="172">
        <f t="shared" si="17"/>
        <v>0</v>
      </c>
      <c r="K123" s="172"/>
      <c r="L123" s="512">
        <f t="shared" si="18"/>
        <v>0</v>
      </c>
      <c r="M123" s="512">
        <f t="shared" si="20"/>
        <v>5</v>
      </c>
      <c r="N123" s="172">
        <v>0.25</v>
      </c>
      <c r="O123" s="413">
        <v>1</v>
      </c>
      <c r="P123" s="988"/>
    </row>
    <row r="124" spans="1:16" s="170" customFormat="1" ht="27">
      <c r="A124" s="1696"/>
      <c r="B124" s="1697"/>
      <c r="C124" s="171" t="s">
        <v>1024</v>
      </c>
      <c r="D124" s="173" t="s">
        <v>1025</v>
      </c>
      <c r="E124" s="172">
        <v>10</v>
      </c>
      <c r="F124" s="172">
        <v>10</v>
      </c>
      <c r="G124" s="172">
        <f t="shared" si="16"/>
        <v>0.5</v>
      </c>
      <c r="H124" s="172"/>
      <c r="I124" s="172">
        <v>10</v>
      </c>
      <c r="J124" s="172">
        <f t="shared" si="17"/>
        <v>0.5</v>
      </c>
      <c r="K124" s="172"/>
      <c r="L124" s="512">
        <f t="shared" si="18"/>
        <v>0</v>
      </c>
      <c r="M124" s="512">
        <f t="shared" si="20"/>
        <v>0</v>
      </c>
      <c r="N124" s="172">
        <v>0.5</v>
      </c>
      <c r="O124" s="413">
        <v>1</v>
      </c>
      <c r="P124" s="988"/>
    </row>
    <row r="125" spans="1:16" s="170" customFormat="1" ht="14.25">
      <c r="A125" s="1696"/>
      <c r="B125" s="1697"/>
      <c r="C125" s="171" t="s">
        <v>1026</v>
      </c>
      <c r="D125" s="173" t="s">
        <v>1027</v>
      </c>
      <c r="E125" s="172">
        <v>5</v>
      </c>
      <c r="F125" s="172">
        <v>5</v>
      </c>
      <c r="G125" s="172">
        <f t="shared" si="16"/>
        <v>0.25</v>
      </c>
      <c r="H125" s="172"/>
      <c r="I125" s="172">
        <v>5</v>
      </c>
      <c r="J125" s="172">
        <f t="shared" si="17"/>
        <v>0.25</v>
      </c>
      <c r="K125" s="172"/>
      <c r="L125" s="512">
        <f t="shared" si="18"/>
        <v>0</v>
      </c>
      <c r="M125" s="512">
        <f t="shared" si="20"/>
        <v>0</v>
      </c>
      <c r="N125" s="172">
        <v>0.25</v>
      </c>
      <c r="O125" s="413">
        <v>1</v>
      </c>
      <c r="P125" s="988"/>
    </row>
    <row r="126" spans="1:16" s="170" customFormat="1" ht="40.5">
      <c r="A126" s="1696"/>
      <c r="B126" s="182" t="s">
        <v>1028</v>
      </c>
      <c r="C126" s="171" t="s">
        <v>1029</v>
      </c>
      <c r="D126" s="173" t="s">
        <v>1030</v>
      </c>
      <c r="E126" s="172">
        <v>15</v>
      </c>
      <c r="F126" s="172">
        <v>15</v>
      </c>
      <c r="G126" s="172">
        <f t="shared" si="16"/>
        <v>0.75</v>
      </c>
      <c r="H126" s="172"/>
      <c r="I126" s="172">
        <v>15</v>
      </c>
      <c r="J126" s="172">
        <f t="shared" si="17"/>
        <v>0.75</v>
      </c>
      <c r="K126" s="172"/>
      <c r="L126" s="512">
        <f t="shared" si="18"/>
        <v>0</v>
      </c>
      <c r="M126" s="512">
        <f t="shared" si="20"/>
        <v>0</v>
      </c>
      <c r="N126" s="172">
        <v>0.75</v>
      </c>
      <c r="O126" s="413">
        <v>1</v>
      </c>
      <c r="P126" s="988"/>
    </row>
    <row r="127" spans="1:16" s="170" customFormat="1" ht="14.25">
      <c r="A127" s="1696"/>
      <c r="B127" s="1697" t="s">
        <v>1031</v>
      </c>
      <c r="C127" s="171" t="s">
        <v>1032</v>
      </c>
      <c r="D127" s="173" t="s">
        <v>1033</v>
      </c>
      <c r="E127" s="172">
        <v>2</v>
      </c>
      <c r="F127" s="172">
        <v>2</v>
      </c>
      <c r="G127" s="172">
        <f t="shared" si="16"/>
        <v>0.1</v>
      </c>
      <c r="H127" s="172"/>
      <c r="I127" s="172">
        <v>2</v>
      </c>
      <c r="J127" s="172">
        <f t="shared" si="17"/>
        <v>0.1</v>
      </c>
      <c r="K127" s="172"/>
      <c r="L127" s="512">
        <f t="shared" si="18"/>
        <v>0</v>
      </c>
      <c r="M127" s="512">
        <f t="shared" si="20"/>
        <v>0</v>
      </c>
      <c r="N127" s="172">
        <v>0.1</v>
      </c>
      <c r="O127" s="413">
        <v>1</v>
      </c>
      <c r="P127" s="988"/>
    </row>
    <row r="128" spans="1:16" s="170" customFormat="1" ht="27">
      <c r="A128" s="1696"/>
      <c r="B128" s="1697"/>
      <c r="C128" s="171" t="s">
        <v>1034</v>
      </c>
      <c r="D128" s="173" t="s">
        <v>1035</v>
      </c>
      <c r="E128" s="172">
        <v>8</v>
      </c>
      <c r="F128" s="172">
        <v>8</v>
      </c>
      <c r="G128" s="172">
        <f t="shared" si="16"/>
        <v>0.4</v>
      </c>
      <c r="H128" s="172"/>
      <c r="I128" s="172">
        <v>8</v>
      </c>
      <c r="J128" s="172">
        <f t="shared" si="17"/>
        <v>0.4</v>
      </c>
      <c r="K128" s="172"/>
      <c r="L128" s="512">
        <f t="shared" si="18"/>
        <v>0</v>
      </c>
      <c r="M128" s="512">
        <f t="shared" si="20"/>
        <v>0</v>
      </c>
      <c r="N128" s="172">
        <v>0.4</v>
      </c>
      <c r="O128" s="413">
        <v>1</v>
      </c>
      <c r="P128" s="988"/>
    </row>
    <row r="129" spans="1:16" s="170" customFormat="1" ht="14.25">
      <c r="A129" s="1696"/>
      <c r="B129" s="1697" t="s">
        <v>1036</v>
      </c>
      <c r="C129" s="171" t="s">
        <v>1037</v>
      </c>
      <c r="D129" s="173" t="s">
        <v>1038</v>
      </c>
      <c r="E129" s="172">
        <v>10</v>
      </c>
      <c r="F129" s="172">
        <v>10</v>
      </c>
      <c r="G129" s="172">
        <f t="shared" si="16"/>
        <v>0.5</v>
      </c>
      <c r="H129" s="172"/>
      <c r="I129" s="172">
        <v>10</v>
      </c>
      <c r="J129" s="172">
        <f t="shared" si="17"/>
        <v>0.5</v>
      </c>
      <c r="K129" s="172"/>
      <c r="L129" s="512">
        <f t="shared" si="18"/>
        <v>0</v>
      </c>
      <c r="M129" s="512">
        <f t="shared" si="20"/>
        <v>0</v>
      </c>
      <c r="N129" s="172">
        <v>0.5</v>
      </c>
      <c r="O129" s="413">
        <v>1</v>
      </c>
      <c r="P129" s="988"/>
    </row>
    <row r="130" spans="1:16" s="170" customFormat="1" ht="14.25">
      <c r="A130" s="1696"/>
      <c r="B130" s="1697"/>
      <c r="C130" s="171" t="s">
        <v>1039</v>
      </c>
      <c r="D130" s="173" t="s">
        <v>1040</v>
      </c>
      <c r="E130" s="172">
        <v>10</v>
      </c>
      <c r="F130" s="172">
        <v>10</v>
      </c>
      <c r="G130" s="172">
        <f t="shared" si="16"/>
        <v>0.5</v>
      </c>
      <c r="H130" s="172"/>
      <c r="I130" s="172">
        <v>10</v>
      </c>
      <c r="J130" s="172">
        <f t="shared" si="17"/>
        <v>0.5</v>
      </c>
      <c r="K130" s="172"/>
      <c r="L130" s="512">
        <f t="shared" si="18"/>
        <v>0</v>
      </c>
      <c r="M130" s="512">
        <f t="shared" si="20"/>
        <v>0</v>
      </c>
      <c r="N130" s="172">
        <v>0.5</v>
      </c>
      <c r="O130" s="413">
        <v>1</v>
      </c>
      <c r="P130" s="988"/>
    </row>
    <row r="131" spans="1:16" s="170" customFormat="1" ht="27">
      <c r="A131" s="1696"/>
      <c r="B131" s="1697"/>
      <c r="C131" s="171" t="s">
        <v>1041</v>
      </c>
      <c r="D131" s="173" t="s">
        <v>1042</v>
      </c>
      <c r="E131" s="172">
        <v>10</v>
      </c>
      <c r="F131" s="172">
        <v>10</v>
      </c>
      <c r="G131" s="172">
        <f t="shared" si="16"/>
        <v>0.5</v>
      </c>
      <c r="H131" s="172">
        <f>SUM(F119:F131)*0.05</f>
        <v>4.5</v>
      </c>
      <c r="I131" s="172">
        <v>10</v>
      </c>
      <c r="J131" s="172">
        <f t="shared" si="17"/>
        <v>0.5</v>
      </c>
      <c r="K131" s="172">
        <f>SUM(I119:I131)*0.05</f>
        <v>4.5</v>
      </c>
      <c r="L131" s="512">
        <f t="shared" si="18"/>
        <v>0</v>
      </c>
      <c r="M131" s="512">
        <f t="shared" si="20"/>
        <v>0</v>
      </c>
      <c r="N131" s="172">
        <v>0.5</v>
      </c>
      <c r="O131" s="413">
        <v>1</v>
      </c>
      <c r="P131" s="988"/>
    </row>
    <row r="132" spans="1:16" ht="27" customHeight="1">
      <c r="A132" s="1697" t="s">
        <v>1043</v>
      </c>
      <c r="B132" s="1698" t="s">
        <v>1044</v>
      </c>
      <c r="C132" s="1698"/>
      <c r="D132" s="1698"/>
      <c r="E132" s="1698"/>
      <c r="F132" s="183"/>
      <c r="G132" s="183"/>
      <c r="H132" s="183"/>
      <c r="I132" s="438"/>
      <c r="J132" s="183"/>
      <c r="K132" s="183"/>
      <c r="L132" s="441"/>
      <c r="M132" s="441"/>
    </row>
    <row r="133" spans="1:16" ht="27" customHeight="1">
      <c r="A133" s="1697"/>
      <c r="B133" s="1698" t="s">
        <v>1045</v>
      </c>
      <c r="C133" s="1698"/>
      <c r="D133" s="1698"/>
      <c r="E133" s="1698"/>
      <c r="F133" s="183"/>
      <c r="G133" s="183"/>
      <c r="H133" s="183"/>
      <c r="I133" s="438"/>
      <c r="J133" s="183"/>
      <c r="K133" s="183"/>
      <c r="L133" s="441"/>
      <c r="M133" s="441"/>
    </row>
    <row r="134" spans="1:16" ht="27" customHeight="1">
      <c r="A134" s="1697"/>
      <c r="B134" s="1698" t="s">
        <v>1046</v>
      </c>
      <c r="C134" s="1698"/>
      <c r="D134" s="1698"/>
      <c r="E134" s="1698"/>
      <c r="F134" s="183"/>
      <c r="G134" s="183"/>
      <c r="H134" s="183"/>
      <c r="I134" s="438"/>
      <c r="J134" s="183"/>
      <c r="K134" s="183"/>
      <c r="L134" s="441"/>
      <c r="M134" s="441"/>
    </row>
    <row r="135" spans="1:16" ht="27" customHeight="1">
      <c r="A135" s="1697"/>
      <c r="B135" s="1698" t="s">
        <v>1047</v>
      </c>
      <c r="C135" s="1698"/>
      <c r="D135" s="1698"/>
      <c r="E135" s="1698"/>
      <c r="F135" s="183"/>
      <c r="G135" s="183"/>
      <c r="H135" s="183"/>
      <c r="I135" s="438"/>
      <c r="J135" s="183"/>
      <c r="K135" s="183"/>
      <c r="L135" s="441"/>
      <c r="M135" s="441"/>
    </row>
    <row r="136" spans="1:16" ht="13.5">
      <c r="A136" s="1697"/>
      <c r="B136" s="1698" t="s">
        <v>1048</v>
      </c>
      <c r="C136" s="1698"/>
      <c r="D136" s="1698"/>
      <c r="E136" s="1698"/>
      <c r="F136" s="183"/>
      <c r="G136" s="183"/>
      <c r="H136" s="183"/>
      <c r="I136" s="438"/>
      <c r="J136" s="183"/>
      <c r="K136" s="183"/>
      <c r="L136" s="441"/>
      <c r="M136" s="441"/>
    </row>
    <row r="137" spans="1:16" ht="13.5">
      <c r="B137" s="863" t="s">
        <v>1962</v>
      </c>
      <c r="F137" s="236"/>
      <c r="G137" s="236" t="s">
        <v>1715</v>
      </c>
      <c r="H137" s="443">
        <f>SUM(H3:H136)</f>
        <v>89.429999999999993</v>
      </c>
      <c r="I137" s="236"/>
      <c r="J137" s="236"/>
      <c r="K137" s="862">
        <f>SUM(K3:K136)</f>
        <v>89.429999999999993</v>
      </c>
      <c r="N137" s="237"/>
    </row>
    <row r="138" spans="1:16" ht="13.5">
      <c r="B138" s="863" t="s">
        <v>1961</v>
      </c>
      <c r="H138" s="443">
        <f>100-H137</f>
        <v>10.570000000000007</v>
      </c>
      <c r="K138" s="861">
        <f>100-K137</f>
        <v>10.570000000000007</v>
      </c>
    </row>
    <row r="139" spans="1:16" ht="13.5">
      <c r="H139" s="443"/>
      <c r="K139" s="443"/>
    </row>
    <row r="140" spans="1:16" ht="13.5">
      <c r="F140" s="442" t="s">
        <v>1659</v>
      </c>
      <c r="H140" s="443">
        <f>SUMPRODUCT(G3:G131,O3:O131)</f>
        <v>89.429999999999922</v>
      </c>
      <c r="K140" s="443">
        <f>SUMPRODUCT(J3:J131,O3:O131)</f>
        <v>89.429999999999922</v>
      </c>
    </row>
    <row r="141" spans="1:16" ht="13.5">
      <c r="F141" s="442" t="s">
        <v>1476</v>
      </c>
      <c r="H141" s="443">
        <f>SUMPRODUCT(N3:N131,O3:O131)</f>
        <v>98.049999999999955</v>
      </c>
      <c r="K141" s="443">
        <f>SUMPRODUCT(N3:N131,O3:O131)</f>
        <v>98.049999999999955</v>
      </c>
    </row>
    <row r="145" spans="1:1" ht="13.5">
      <c r="A145" s="882" t="s">
        <v>1960</v>
      </c>
    </row>
    <row r="146" spans="1:1" ht="13.5">
      <c r="A146" s="893" t="s">
        <v>2008</v>
      </c>
    </row>
  </sheetData>
  <mergeCells count="52">
    <mergeCell ref="B136:E136"/>
    <mergeCell ref="A119:A131"/>
    <mergeCell ref="B119:B122"/>
    <mergeCell ref="B123:B125"/>
    <mergeCell ref="B127:B128"/>
    <mergeCell ref="B129:B131"/>
    <mergeCell ref="A132:A136"/>
    <mergeCell ref="B132:E132"/>
    <mergeCell ref="B133:E133"/>
    <mergeCell ref="B134:E134"/>
    <mergeCell ref="B135:E135"/>
    <mergeCell ref="A96:A104"/>
    <mergeCell ref="B96:B97"/>
    <mergeCell ref="B98:B101"/>
    <mergeCell ref="B102:B104"/>
    <mergeCell ref="A105:A118"/>
    <mergeCell ref="B105:B107"/>
    <mergeCell ref="B108:B115"/>
    <mergeCell ref="B116:B118"/>
    <mergeCell ref="B72:B74"/>
    <mergeCell ref="A76:A95"/>
    <mergeCell ref="B76:B79"/>
    <mergeCell ref="B80:B81"/>
    <mergeCell ref="B82:B84"/>
    <mergeCell ref="B85:B88"/>
    <mergeCell ref="B89:B91"/>
    <mergeCell ref="B92:B95"/>
    <mergeCell ref="A61:A75"/>
    <mergeCell ref="B61:B64"/>
    <mergeCell ref="B65:B66"/>
    <mergeCell ref="B67:B68"/>
    <mergeCell ref="B69:B71"/>
    <mergeCell ref="A44:A60"/>
    <mergeCell ref="B44:B47"/>
    <mergeCell ref="B48:B51"/>
    <mergeCell ref="B52:B56"/>
    <mergeCell ref="B57:B60"/>
    <mergeCell ref="A26:A43"/>
    <mergeCell ref="B26:B27"/>
    <mergeCell ref="B28:B29"/>
    <mergeCell ref="B30:B32"/>
    <mergeCell ref="B33:B34"/>
    <mergeCell ref="B35:B36"/>
    <mergeCell ref="B37:B39"/>
    <mergeCell ref="B41:B42"/>
    <mergeCell ref="A3:A14"/>
    <mergeCell ref="B3:B4"/>
    <mergeCell ref="B5:B9"/>
    <mergeCell ref="B10:B14"/>
    <mergeCell ref="A15:A25"/>
    <mergeCell ref="B16:B20"/>
    <mergeCell ref="B21:B25"/>
  </mergeCells>
  <phoneticPr fontId="3" type="noConversion"/>
  <conditionalFormatting sqref="L3:M131">
    <cfRule type="expression" dxfId="61" priority="13">
      <formula>L3&lt;0</formula>
    </cfRule>
  </conditionalFormatting>
  <conditionalFormatting sqref="L3:M131">
    <cfRule type="cellIs" dxfId="60" priority="11" stopIfTrue="1" operator="lessThan">
      <formula>0</formula>
    </cfRule>
    <cfRule type="cellIs" dxfId="59" priority="12" operator="greaterThan">
      <formula>0</formula>
    </cfRule>
  </conditionalFormatting>
  <hyperlinks>
    <hyperlink ref="A145" location="权重!A1" display="权重!A1"/>
    <hyperlink ref="A146" location="目录!A1" display="目录!A1"/>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sheetPr>
    <tabColor theme="7"/>
  </sheetPr>
  <dimension ref="A1:M33"/>
  <sheetViews>
    <sheetView workbookViewId="0">
      <pane xSplit="7" ySplit="2" topLeftCell="H18" activePane="bottomRight" state="frozen"/>
      <selection activeCell="A3" sqref="A3:B3"/>
      <selection pane="topRight" activeCell="A3" sqref="A3:B3"/>
      <selection pane="bottomLeft" activeCell="A3" sqref="A3:B3"/>
      <selection pane="bottomRight" activeCell="D34" sqref="D33:D34"/>
    </sheetView>
  </sheetViews>
  <sheetFormatPr defaultColWidth="9" defaultRowHeight="13.5" outlineLevelCol="1"/>
  <cols>
    <col min="1" max="1" width="23.25" customWidth="1" outlineLevel="1"/>
    <col min="2" max="3" width="9" customWidth="1" outlineLevel="1"/>
    <col min="4" max="4" width="22.625" customWidth="1" outlineLevel="1"/>
    <col min="5" max="5" width="10.875" customWidth="1" outlineLevel="1"/>
    <col min="6" max="6" width="9.875" customWidth="1"/>
    <col min="7" max="7" width="13.75" customWidth="1"/>
    <col min="8" max="8" width="10.875" style="32" customWidth="1"/>
    <col min="9" max="10" width="7" customWidth="1"/>
    <col min="11" max="12" width="6.125" customWidth="1"/>
  </cols>
  <sheetData>
    <row r="1" spans="1:13" s="32" customFormat="1" ht="31.5" customHeight="1">
      <c r="A1" s="884"/>
      <c r="B1" s="884"/>
      <c r="C1" s="884"/>
      <c r="D1" s="884"/>
      <c r="E1" s="884"/>
      <c r="F1" s="884" t="s">
        <v>1112</v>
      </c>
      <c r="G1" s="884"/>
      <c r="H1" s="884"/>
      <c r="I1" s="884"/>
      <c r="J1" s="250"/>
      <c r="K1" s="207"/>
      <c r="L1" s="207"/>
      <c r="M1" s="207"/>
    </row>
    <row r="2" spans="1:13" s="209" customFormat="1" ht="24.75" customHeight="1">
      <c r="A2" s="208" t="s">
        <v>1116</v>
      </c>
      <c r="B2" s="1705" t="s">
        <v>1117</v>
      </c>
      <c r="C2" s="1706"/>
      <c r="D2" s="1706"/>
      <c r="E2" s="1707"/>
      <c r="F2" s="208" t="s">
        <v>1113</v>
      </c>
      <c r="G2" s="208" t="s">
        <v>1114</v>
      </c>
      <c r="H2" s="223" t="s">
        <v>745</v>
      </c>
      <c r="I2" s="208" t="s">
        <v>1115</v>
      </c>
      <c r="J2" s="208" t="s">
        <v>2026</v>
      </c>
      <c r="K2" s="208" t="s">
        <v>1713</v>
      </c>
      <c r="L2" s="864"/>
      <c r="M2" s="902" t="s">
        <v>2010</v>
      </c>
    </row>
    <row r="3" spans="1:13" ht="42" customHeight="1">
      <c r="A3" s="198" t="s">
        <v>1120</v>
      </c>
      <c r="B3" s="1702" t="s">
        <v>1121</v>
      </c>
      <c r="C3" s="1703"/>
      <c r="D3" s="1703"/>
      <c r="E3" s="1704"/>
      <c r="F3" s="1708" t="s">
        <v>1118</v>
      </c>
      <c r="G3" s="210" t="s">
        <v>1119</v>
      </c>
      <c r="H3" s="224" t="s">
        <v>1172</v>
      </c>
      <c r="I3" s="243">
        <v>3</v>
      </c>
      <c r="J3" s="224" t="s">
        <v>1180</v>
      </c>
      <c r="K3" s="224" t="s">
        <v>1180</v>
      </c>
      <c r="L3" s="865"/>
      <c r="M3" s="901" t="e">
        <f>K3-J3</f>
        <v>#VALUE!</v>
      </c>
    </row>
    <row r="4" spans="1:13" ht="39" customHeight="1">
      <c r="A4" s="213" t="s">
        <v>1123</v>
      </c>
      <c r="B4" s="1686" t="s">
        <v>1124</v>
      </c>
      <c r="C4" s="1711"/>
      <c r="D4" s="1711"/>
      <c r="E4" s="1712"/>
      <c r="F4" s="1709"/>
      <c r="G4" s="211" t="s">
        <v>1122</v>
      </c>
      <c r="H4" s="224" t="s">
        <v>1172</v>
      </c>
      <c r="I4" s="212">
        <v>4</v>
      </c>
      <c r="J4" s="224" t="s">
        <v>1180</v>
      </c>
      <c r="K4" s="224" t="s">
        <v>1180</v>
      </c>
      <c r="L4" s="865"/>
      <c r="M4" s="512" t="e">
        <f t="shared" ref="M4:M20" si="0">K4-J4</f>
        <v>#VALUE!</v>
      </c>
    </row>
    <row r="5" spans="1:13" ht="30" customHeight="1">
      <c r="A5" s="213" t="s">
        <v>1126</v>
      </c>
      <c r="B5" s="1587" t="s">
        <v>1127</v>
      </c>
      <c r="C5" s="1713"/>
      <c r="D5" s="1713"/>
      <c r="E5" s="1714"/>
      <c r="F5" s="1709"/>
      <c r="G5" s="1732" t="s">
        <v>1125</v>
      </c>
      <c r="H5" s="1665" t="s">
        <v>1172</v>
      </c>
      <c r="I5" s="1730">
        <v>4</v>
      </c>
      <c r="J5" s="1726" t="s">
        <v>1180</v>
      </c>
      <c r="K5" s="1726" t="s">
        <v>1180</v>
      </c>
      <c r="L5" s="865"/>
      <c r="M5" s="1529" t="e">
        <f t="shared" si="0"/>
        <v>#VALUE!</v>
      </c>
    </row>
    <row r="6" spans="1:13" ht="30" customHeight="1">
      <c r="A6" s="213" t="s">
        <v>1128</v>
      </c>
      <c r="B6" s="1589"/>
      <c r="C6" s="1715"/>
      <c r="D6" s="1715"/>
      <c r="E6" s="1716"/>
      <c r="F6" s="1709"/>
      <c r="G6" s="1733"/>
      <c r="H6" s="1667"/>
      <c r="I6" s="1731"/>
      <c r="J6" s="1726"/>
      <c r="K6" s="1726"/>
      <c r="L6" s="865"/>
      <c r="M6" s="1531"/>
    </row>
    <row r="7" spans="1:13" ht="54" customHeight="1">
      <c r="A7" s="213" t="s">
        <v>1130</v>
      </c>
      <c r="B7" s="1699" t="s">
        <v>1131</v>
      </c>
      <c r="C7" s="1700"/>
      <c r="D7" s="1700"/>
      <c r="E7" s="1701"/>
      <c r="F7" s="1709"/>
      <c r="G7" s="211" t="s">
        <v>1129</v>
      </c>
      <c r="H7" s="225" t="s">
        <v>1173</v>
      </c>
      <c r="I7" s="212">
        <v>4</v>
      </c>
      <c r="J7" s="254">
        <v>4</v>
      </c>
      <c r="K7" s="254">
        <v>4</v>
      </c>
      <c r="L7" s="867"/>
      <c r="M7" s="512">
        <f t="shared" si="0"/>
        <v>0</v>
      </c>
    </row>
    <row r="8" spans="1:13" ht="30" customHeight="1">
      <c r="A8" s="215" t="s">
        <v>1133</v>
      </c>
      <c r="B8" s="1717" t="s">
        <v>1134</v>
      </c>
      <c r="C8" s="1718"/>
      <c r="D8" s="1718"/>
      <c r="E8" s="1719"/>
      <c r="F8" s="1709"/>
      <c r="G8" s="214" t="s">
        <v>1132</v>
      </c>
      <c r="H8" s="225" t="s">
        <v>1173</v>
      </c>
      <c r="I8" s="244">
        <v>2</v>
      </c>
      <c r="J8" s="254">
        <v>2</v>
      </c>
      <c r="K8" s="254">
        <v>2</v>
      </c>
      <c r="L8" s="867"/>
      <c r="M8" s="512">
        <f t="shared" si="0"/>
        <v>0</v>
      </c>
    </row>
    <row r="9" spans="1:13" ht="30" customHeight="1">
      <c r="A9" s="215" t="s">
        <v>1136</v>
      </c>
      <c r="B9" s="1720" t="s">
        <v>1137</v>
      </c>
      <c r="C9" s="1721"/>
      <c r="D9" s="1721"/>
      <c r="E9" s="1722"/>
      <c r="F9" s="1709"/>
      <c r="G9" s="1732" t="s">
        <v>1135</v>
      </c>
      <c r="H9" s="1730" t="s">
        <v>285</v>
      </c>
      <c r="I9" s="1730">
        <v>3</v>
      </c>
      <c r="J9" s="1727">
        <v>1</v>
      </c>
      <c r="K9" s="1727">
        <v>1</v>
      </c>
      <c r="L9" s="865"/>
      <c r="M9" s="512">
        <f t="shared" si="0"/>
        <v>0</v>
      </c>
    </row>
    <row r="10" spans="1:13" ht="23.25" customHeight="1">
      <c r="A10" s="199" t="s">
        <v>1138</v>
      </c>
      <c r="B10" s="1723"/>
      <c r="C10" s="1724"/>
      <c r="D10" s="1724"/>
      <c r="E10" s="1725"/>
      <c r="F10" s="1710"/>
      <c r="G10" s="1733"/>
      <c r="H10" s="1731"/>
      <c r="I10" s="1731"/>
      <c r="J10" s="1728"/>
      <c r="K10" s="1728"/>
      <c r="L10" s="865"/>
      <c r="M10" s="512">
        <f t="shared" si="0"/>
        <v>0</v>
      </c>
    </row>
    <row r="11" spans="1:13" s="217" customFormat="1" ht="44.1" customHeight="1">
      <c r="A11" s="197" t="s">
        <v>1141</v>
      </c>
      <c r="B11" s="1702" t="s">
        <v>1142</v>
      </c>
      <c r="C11" s="1703"/>
      <c r="D11" s="1703"/>
      <c r="E11" s="1704"/>
      <c r="F11" s="1708" t="s">
        <v>1139</v>
      </c>
      <c r="G11" s="211" t="s">
        <v>1140</v>
      </c>
      <c r="H11" s="225" t="s">
        <v>1173</v>
      </c>
      <c r="I11" s="216">
        <v>5</v>
      </c>
      <c r="J11" s="251">
        <v>4.5</v>
      </c>
      <c r="K11" s="251">
        <v>4.5</v>
      </c>
      <c r="L11" s="471"/>
      <c r="M11" s="512">
        <f t="shared" si="0"/>
        <v>0</v>
      </c>
    </row>
    <row r="12" spans="1:13" s="217" customFormat="1" ht="44.1" customHeight="1">
      <c r="A12" s="199" t="s">
        <v>1144</v>
      </c>
      <c r="B12" s="1702" t="s">
        <v>1145</v>
      </c>
      <c r="C12" s="1703"/>
      <c r="D12" s="1703"/>
      <c r="E12" s="1704"/>
      <c r="F12" s="1709"/>
      <c r="G12" s="211" t="s">
        <v>1143</v>
      </c>
      <c r="H12" s="225" t="s">
        <v>1173</v>
      </c>
      <c r="I12" s="216">
        <v>5</v>
      </c>
      <c r="J12" s="255">
        <v>5</v>
      </c>
      <c r="K12" s="255">
        <v>5</v>
      </c>
      <c r="L12" s="866"/>
      <c r="M12" s="512">
        <f t="shared" si="0"/>
        <v>0</v>
      </c>
    </row>
    <row r="13" spans="1:13" s="217" customFormat="1" ht="44.1" customHeight="1">
      <c r="A13" s="199" t="s">
        <v>1147</v>
      </c>
      <c r="B13" s="1702" t="s">
        <v>1148</v>
      </c>
      <c r="C13" s="1703"/>
      <c r="D13" s="1703"/>
      <c r="E13" s="1704"/>
      <c r="F13" s="1709"/>
      <c r="G13" s="211" t="s">
        <v>1146</v>
      </c>
      <c r="H13" s="225" t="s">
        <v>1173</v>
      </c>
      <c r="I13" s="216">
        <v>5</v>
      </c>
      <c r="J13" s="255">
        <v>5</v>
      </c>
      <c r="K13" s="255">
        <v>5</v>
      </c>
      <c r="L13" s="866"/>
      <c r="M13" s="512">
        <f t="shared" si="0"/>
        <v>0</v>
      </c>
    </row>
    <row r="14" spans="1:13" s="217" customFormat="1" ht="47.1" customHeight="1">
      <c r="A14" s="199" t="s">
        <v>1150</v>
      </c>
      <c r="B14" s="1702" t="s">
        <v>1151</v>
      </c>
      <c r="C14" s="1703"/>
      <c r="D14" s="1703"/>
      <c r="E14" s="1704"/>
      <c r="F14" s="1709"/>
      <c r="G14" s="218" t="s">
        <v>1149</v>
      </c>
      <c r="H14" s="225" t="s">
        <v>1173</v>
      </c>
      <c r="I14" s="216">
        <v>10</v>
      </c>
      <c r="J14" s="255">
        <v>10</v>
      </c>
      <c r="K14" s="255">
        <v>10</v>
      </c>
      <c r="L14" s="866"/>
      <c r="M14" s="512">
        <f t="shared" si="0"/>
        <v>0</v>
      </c>
    </row>
    <row r="15" spans="1:13" s="217" customFormat="1" ht="47.1" customHeight="1">
      <c r="A15" s="173" t="s">
        <v>1153</v>
      </c>
      <c r="B15" s="1702" t="s">
        <v>1154</v>
      </c>
      <c r="C15" s="1703"/>
      <c r="D15" s="1703"/>
      <c r="E15" s="1704"/>
      <c r="F15" s="1710"/>
      <c r="G15" s="211" t="s">
        <v>1152</v>
      </c>
      <c r="H15" s="225" t="s">
        <v>1173</v>
      </c>
      <c r="I15" s="216">
        <v>5</v>
      </c>
      <c r="J15" s="255">
        <v>5</v>
      </c>
      <c r="K15" s="255">
        <v>5</v>
      </c>
      <c r="L15" s="866"/>
      <c r="M15" s="512">
        <f t="shared" si="0"/>
        <v>0</v>
      </c>
    </row>
    <row r="16" spans="1:13" ht="84.75" customHeight="1">
      <c r="A16" s="213" t="s">
        <v>1157</v>
      </c>
      <c r="B16" s="1699" t="s">
        <v>1158</v>
      </c>
      <c r="C16" s="1700"/>
      <c r="D16" s="1700"/>
      <c r="E16" s="1701"/>
      <c r="F16" s="1734" t="s">
        <v>1155</v>
      </c>
      <c r="G16" s="219" t="s">
        <v>1156</v>
      </c>
      <c r="H16" s="224" t="s">
        <v>1172</v>
      </c>
      <c r="I16" s="212">
        <v>10</v>
      </c>
      <c r="J16" s="224" t="s">
        <v>1180</v>
      </c>
      <c r="K16" s="224" t="s">
        <v>1180</v>
      </c>
      <c r="L16" s="865"/>
      <c r="M16" s="512" t="e">
        <f t="shared" si="0"/>
        <v>#VALUE!</v>
      </c>
    </row>
    <row r="17" spans="1:13" ht="111" customHeight="1">
      <c r="A17" s="213" t="s">
        <v>1160</v>
      </c>
      <c r="B17" s="1699" t="s">
        <v>1161</v>
      </c>
      <c r="C17" s="1700"/>
      <c r="D17" s="1700"/>
      <c r="E17" s="1701"/>
      <c r="F17" s="1735"/>
      <c r="G17" s="226" t="s">
        <v>1159</v>
      </c>
      <c r="H17" s="225" t="s">
        <v>1173</v>
      </c>
      <c r="I17" s="212">
        <v>10</v>
      </c>
      <c r="J17" s="256">
        <v>10</v>
      </c>
      <c r="K17" s="256">
        <v>10</v>
      </c>
      <c r="L17" s="867"/>
      <c r="M17" s="512">
        <f t="shared" si="0"/>
        <v>0</v>
      </c>
    </row>
    <row r="18" spans="1:13" ht="109.5" customHeight="1">
      <c r="A18" s="213" t="s">
        <v>1163</v>
      </c>
      <c r="B18" s="1699" t="s">
        <v>1164</v>
      </c>
      <c r="C18" s="1700"/>
      <c r="D18" s="1700"/>
      <c r="E18" s="1701"/>
      <c r="F18" s="1735"/>
      <c r="G18" s="226" t="s">
        <v>1162</v>
      </c>
      <c r="H18" s="225" t="s">
        <v>1173</v>
      </c>
      <c r="I18" s="212">
        <v>20</v>
      </c>
      <c r="J18" s="256">
        <v>20</v>
      </c>
      <c r="K18" s="256">
        <v>20</v>
      </c>
      <c r="L18" s="867"/>
      <c r="M18" s="512">
        <f t="shared" si="0"/>
        <v>0</v>
      </c>
    </row>
    <row r="19" spans="1:13" ht="30" customHeight="1">
      <c r="A19" s="213" t="s">
        <v>1166</v>
      </c>
      <c r="B19" s="1699" t="s">
        <v>1167</v>
      </c>
      <c r="C19" s="1700"/>
      <c r="D19" s="1700"/>
      <c r="E19" s="1701"/>
      <c r="F19" s="1735"/>
      <c r="G19" s="219" t="s">
        <v>1165</v>
      </c>
      <c r="H19" s="225" t="s">
        <v>1173</v>
      </c>
      <c r="I19" s="212">
        <v>5</v>
      </c>
      <c r="J19" s="256">
        <v>5</v>
      </c>
      <c r="K19" s="256">
        <v>5</v>
      </c>
      <c r="L19" s="867"/>
      <c r="M19" s="512">
        <f t="shared" si="0"/>
        <v>0</v>
      </c>
    </row>
    <row r="20" spans="1:13" ht="31.5" customHeight="1">
      <c r="A20" s="199" t="s">
        <v>1169</v>
      </c>
      <c r="B20" s="1702" t="s">
        <v>1170</v>
      </c>
      <c r="C20" s="1703"/>
      <c r="D20" s="1703"/>
      <c r="E20" s="1704"/>
      <c r="F20" s="1736"/>
      <c r="G20" s="211" t="s">
        <v>1168</v>
      </c>
      <c r="H20" s="225" t="s">
        <v>1173</v>
      </c>
      <c r="I20" s="216">
        <v>5</v>
      </c>
      <c r="J20" s="256">
        <v>5</v>
      </c>
      <c r="K20" s="256">
        <v>5</v>
      </c>
      <c r="L20" s="867"/>
      <c r="M20" s="512">
        <f t="shared" si="0"/>
        <v>0</v>
      </c>
    </row>
    <row r="21" spans="1:13">
      <c r="A21" s="227"/>
      <c r="B21" s="227"/>
      <c r="C21" s="227"/>
      <c r="D21" s="227"/>
      <c r="E21" s="227"/>
      <c r="F21" s="1729" t="s">
        <v>498</v>
      </c>
      <c r="G21" s="1729"/>
      <c r="H21" s="205"/>
      <c r="I21" s="228">
        <f>SUM(I3:I20)</f>
        <v>100</v>
      </c>
      <c r="J21" s="228">
        <f>SUM(J3:J20)</f>
        <v>76.5</v>
      </c>
      <c r="K21" s="228">
        <f>SUM(K3:K20)</f>
        <v>76.5</v>
      </c>
      <c r="L21" s="868"/>
    </row>
    <row r="23" spans="1:13">
      <c r="J23" s="230">
        <f>SUBTOTAL(9,J3:J20)</f>
        <v>76.5</v>
      </c>
      <c r="K23" s="230">
        <f>SUBTOTAL(9,K3:K20)</f>
        <v>76.5</v>
      </c>
      <c r="L23" s="230"/>
    </row>
    <row r="24" spans="1:13" ht="14.25">
      <c r="G24" s="549" t="s">
        <v>284</v>
      </c>
      <c r="J24" s="883">
        <v>76.5</v>
      </c>
      <c r="K24" s="883">
        <v>76.5</v>
      </c>
      <c r="L24" s="229"/>
    </row>
    <row r="25" spans="1:13" ht="14.25">
      <c r="G25" s="549" t="s">
        <v>550</v>
      </c>
      <c r="J25" s="883">
        <v>0</v>
      </c>
      <c r="K25" s="883">
        <v>0</v>
      </c>
      <c r="L25" s="229"/>
    </row>
    <row r="26" spans="1:13" ht="14.25">
      <c r="G26" s="549" t="s">
        <v>552</v>
      </c>
      <c r="J26" s="883">
        <v>21</v>
      </c>
      <c r="K26" s="883">
        <v>21</v>
      </c>
      <c r="L26" s="229"/>
    </row>
    <row r="27" spans="1:13" ht="14.25">
      <c r="G27" s="549" t="s">
        <v>551</v>
      </c>
      <c r="J27" s="883">
        <v>0</v>
      </c>
      <c r="K27" s="883">
        <v>0</v>
      </c>
      <c r="L27" s="229"/>
    </row>
    <row r="28" spans="1:13" ht="14.25">
      <c r="G28" s="549" t="s">
        <v>553</v>
      </c>
      <c r="J28" s="883">
        <f>100-SUM(J24:J27)</f>
        <v>2.5</v>
      </c>
      <c r="K28" s="883">
        <f>100-SUM(K24:K27)</f>
        <v>2.5</v>
      </c>
      <c r="L28" s="229"/>
    </row>
    <row r="32" spans="1:13">
      <c r="F32" s="860" t="s">
        <v>1960</v>
      </c>
    </row>
    <row r="33" spans="6:6">
      <c r="F33" s="893" t="s">
        <v>2008</v>
      </c>
    </row>
  </sheetData>
  <mergeCells count="32">
    <mergeCell ref="M5:M6"/>
    <mergeCell ref="J5:J6"/>
    <mergeCell ref="J9:J10"/>
    <mergeCell ref="F21:G21"/>
    <mergeCell ref="I5:I6"/>
    <mergeCell ref="I9:I10"/>
    <mergeCell ref="H5:H6"/>
    <mergeCell ref="G5:G6"/>
    <mergeCell ref="K5:K6"/>
    <mergeCell ref="H9:H10"/>
    <mergeCell ref="K9:K10"/>
    <mergeCell ref="F16:F20"/>
    <mergeCell ref="G9:G10"/>
    <mergeCell ref="B15:E15"/>
    <mergeCell ref="B2:E2"/>
    <mergeCell ref="F3:F10"/>
    <mergeCell ref="B3:E3"/>
    <mergeCell ref="B4:E4"/>
    <mergeCell ref="B5:E6"/>
    <mergeCell ref="B7:E7"/>
    <mergeCell ref="B8:E8"/>
    <mergeCell ref="B9:E10"/>
    <mergeCell ref="F11:F15"/>
    <mergeCell ref="B11:E11"/>
    <mergeCell ref="B12:E12"/>
    <mergeCell ref="B13:E13"/>
    <mergeCell ref="B14:E14"/>
    <mergeCell ref="B16:E16"/>
    <mergeCell ref="B17:E17"/>
    <mergeCell ref="B18:E18"/>
    <mergeCell ref="B19:E19"/>
    <mergeCell ref="B20:E20"/>
  </mergeCells>
  <phoneticPr fontId="3" type="noConversion"/>
  <conditionalFormatting sqref="M7:M15">
    <cfRule type="expression" dxfId="58" priority="52">
      <formula>M7&lt;0</formula>
    </cfRule>
  </conditionalFormatting>
  <conditionalFormatting sqref="M7:M15">
    <cfRule type="cellIs" dxfId="57" priority="50" stopIfTrue="1" operator="lessThan">
      <formula>0</formula>
    </cfRule>
    <cfRule type="cellIs" dxfId="56" priority="51" operator="greaterThan">
      <formula>0</formula>
    </cfRule>
  </conditionalFormatting>
  <conditionalFormatting sqref="M7:M15">
    <cfRule type="cellIs" dxfId="55" priority="48" operator="lessThan">
      <formula>0</formula>
    </cfRule>
    <cfRule type="cellIs" dxfId="54" priority="49" stopIfTrue="1" operator="greaterThan">
      <formula>0</formula>
    </cfRule>
  </conditionalFormatting>
  <conditionalFormatting sqref="M7:M15">
    <cfRule type="cellIs" dxfId="53" priority="46" operator="lessThan">
      <formula>0</formula>
    </cfRule>
    <cfRule type="cellIs" dxfId="52" priority="47" operator="greaterThan">
      <formula>0</formula>
    </cfRule>
  </conditionalFormatting>
  <conditionalFormatting sqref="M7:M15">
    <cfRule type="cellIs" dxfId="51" priority="44" stopIfTrue="1" operator="lessThan">
      <formula>0</formula>
    </cfRule>
    <cfRule type="cellIs" dxfId="50" priority="45" operator="greaterThan">
      <formula>0</formula>
    </cfRule>
  </conditionalFormatting>
  <conditionalFormatting sqref="M7:M15">
    <cfRule type="cellIs" dxfId="49" priority="42" operator="lessThan">
      <formula>0</formula>
    </cfRule>
    <cfRule type="cellIs" dxfId="48" priority="43" stopIfTrue="1" operator="greaterThan">
      <formula>0</formula>
    </cfRule>
  </conditionalFormatting>
  <conditionalFormatting sqref="M7:M15">
    <cfRule type="cellIs" dxfId="47" priority="40" operator="lessThan">
      <formula>0</formula>
    </cfRule>
    <cfRule type="cellIs" dxfId="46" priority="41" operator="greaterThan">
      <formula>0</formula>
    </cfRule>
  </conditionalFormatting>
  <conditionalFormatting sqref="M17:M20">
    <cfRule type="expression" dxfId="45" priority="39">
      <formula>M17&lt;0</formula>
    </cfRule>
  </conditionalFormatting>
  <conditionalFormatting sqref="M17:M20">
    <cfRule type="cellIs" dxfId="44" priority="37" stopIfTrue="1" operator="lessThan">
      <formula>0</formula>
    </cfRule>
    <cfRule type="cellIs" dxfId="43" priority="38" operator="greaterThan">
      <formula>0</formula>
    </cfRule>
  </conditionalFormatting>
  <conditionalFormatting sqref="M17:M20">
    <cfRule type="cellIs" dxfId="42" priority="35" operator="lessThan">
      <formula>0</formula>
    </cfRule>
    <cfRule type="cellIs" dxfId="41" priority="36" stopIfTrue="1" operator="greaterThan">
      <formula>0</formula>
    </cfRule>
  </conditionalFormatting>
  <conditionalFormatting sqref="M17:M20">
    <cfRule type="cellIs" dxfId="40" priority="33" operator="lessThan">
      <formula>0</formula>
    </cfRule>
    <cfRule type="cellIs" dxfId="39" priority="34" operator="greaterThan">
      <formula>0</formula>
    </cfRule>
  </conditionalFormatting>
  <conditionalFormatting sqref="M17:M20">
    <cfRule type="cellIs" dxfId="38" priority="31" stopIfTrue="1" operator="lessThan">
      <formula>0</formula>
    </cfRule>
    <cfRule type="cellIs" dxfId="37" priority="32" operator="greaterThan">
      <formula>0</formula>
    </cfRule>
  </conditionalFormatting>
  <conditionalFormatting sqref="M17:M20">
    <cfRule type="cellIs" dxfId="36" priority="29" operator="lessThan">
      <formula>0</formula>
    </cfRule>
    <cfRule type="cellIs" dxfId="35" priority="30" stopIfTrue="1" operator="greaterThan">
      <formula>0</formula>
    </cfRule>
  </conditionalFormatting>
  <conditionalFormatting sqref="M17:M20">
    <cfRule type="cellIs" dxfId="34" priority="27" operator="lessThan">
      <formula>0</formula>
    </cfRule>
    <cfRule type="cellIs" dxfId="33" priority="28" operator="greaterThan">
      <formula>0</formula>
    </cfRule>
  </conditionalFormatting>
  <conditionalFormatting sqref="M16">
    <cfRule type="expression" dxfId="32" priority="26">
      <formula>M16&lt;0</formula>
    </cfRule>
  </conditionalFormatting>
  <conditionalFormatting sqref="M16">
    <cfRule type="cellIs" dxfId="31" priority="24" stopIfTrue="1" operator="lessThan">
      <formula>0</formula>
    </cfRule>
    <cfRule type="cellIs" dxfId="30" priority="25" operator="greaterThan">
      <formula>0</formula>
    </cfRule>
  </conditionalFormatting>
  <conditionalFormatting sqref="M16">
    <cfRule type="cellIs" dxfId="29" priority="22" operator="lessThan">
      <formula>0</formula>
    </cfRule>
    <cfRule type="cellIs" dxfId="28" priority="23" stopIfTrue="1" operator="greaterThan">
      <formula>0</formula>
    </cfRule>
  </conditionalFormatting>
  <conditionalFormatting sqref="M16">
    <cfRule type="cellIs" dxfId="27" priority="20" operator="lessThan">
      <formula>0</formula>
    </cfRule>
    <cfRule type="cellIs" dxfId="26" priority="21" operator="greaterThan">
      <formula>0</formula>
    </cfRule>
  </conditionalFormatting>
  <conditionalFormatting sqref="M16">
    <cfRule type="cellIs" dxfId="25" priority="18" stopIfTrue="1" operator="lessThan">
      <formula>0</formula>
    </cfRule>
    <cfRule type="cellIs" dxfId="24" priority="19" operator="greaterThan">
      <formula>0</formula>
    </cfRule>
  </conditionalFormatting>
  <conditionalFormatting sqref="M16">
    <cfRule type="cellIs" dxfId="23" priority="16" operator="lessThan">
      <formula>0</formula>
    </cfRule>
    <cfRule type="cellIs" dxfId="22" priority="17" stopIfTrue="1" operator="greaterThan">
      <formula>0</formula>
    </cfRule>
  </conditionalFormatting>
  <conditionalFormatting sqref="M16">
    <cfRule type="cellIs" dxfId="21" priority="14" operator="lessThan">
      <formula>0</formula>
    </cfRule>
    <cfRule type="cellIs" dxfId="20" priority="15" operator="greaterThan">
      <formula>0</formula>
    </cfRule>
  </conditionalFormatting>
  <conditionalFormatting sqref="M3:M5">
    <cfRule type="expression" dxfId="19" priority="13">
      <formula>M3&lt;0</formula>
    </cfRule>
  </conditionalFormatting>
  <conditionalFormatting sqref="M3:M5">
    <cfRule type="cellIs" dxfId="18" priority="11" stopIfTrue="1" operator="lessThan">
      <formula>0</formula>
    </cfRule>
    <cfRule type="cellIs" dxfId="17" priority="12" operator="greaterThan">
      <formula>0</formula>
    </cfRule>
  </conditionalFormatting>
  <conditionalFormatting sqref="M3:M5">
    <cfRule type="cellIs" dxfId="16" priority="9" operator="lessThan">
      <formula>0</formula>
    </cfRule>
    <cfRule type="cellIs" dxfId="15" priority="10" stopIfTrue="1" operator="greaterThan">
      <formula>0</formula>
    </cfRule>
  </conditionalFormatting>
  <conditionalFormatting sqref="M3:M5">
    <cfRule type="cellIs" dxfId="14" priority="7" operator="lessThan">
      <formula>0</formula>
    </cfRule>
    <cfRule type="cellIs" dxfId="13" priority="8" operator="greaterThan">
      <formula>0</formula>
    </cfRule>
  </conditionalFormatting>
  <conditionalFormatting sqref="M3:M5">
    <cfRule type="cellIs" dxfId="12" priority="5" stopIfTrue="1" operator="lessThan">
      <formula>0</formula>
    </cfRule>
    <cfRule type="cellIs" dxfId="11" priority="6" operator="greaterThan">
      <formula>0</formula>
    </cfRule>
  </conditionalFormatting>
  <conditionalFormatting sqref="M3:M5">
    <cfRule type="cellIs" dxfId="10" priority="3" operator="lessThan">
      <formula>0</formula>
    </cfRule>
    <cfRule type="cellIs" dxfId="9" priority="4" stopIfTrue="1" operator="greaterThan">
      <formula>0</formula>
    </cfRule>
  </conditionalFormatting>
  <conditionalFormatting sqref="M3:M5">
    <cfRule type="cellIs" dxfId="8" priority="1" operator="lessThan">
      <formula>0</formula>
    </cfRule>
    <cfRule type="cellIs" dxfId="7" priority="2" operator="greaterThan">
      <formula>0</formula>
    </cfRule>
  </conditionalFormatting>
  <hyperlinks>
    <hyperlink ref="F32" location="权重!A1" display="权重!A1"/>
    <hyperlink ref="F33" location="目录!A1" display="目录!A1"/>
  </hyperlinks>
  <printOptions horizontalCentered="1"/>
  <pageMargins left="0.43307086614173229" right="0.43307086614173229" top="0.59055118110236227" bottom="0.39370078740157483" header="0.31496062992125984" footer="0.31496062992125984"/>
  <pageSetup paperSize="9" orientation="landscape" r:id="rId1"/>
  <legacyDrawing r:id="rId2"/>
</worksheet>
</file>

<file path=xl/worksheets/sheet27.xml><?xml version="1.0" encoding="utf-8"?>
<worksheet xmlns="http://schemas.openxmlformats.org/spreadsheetml/2006/main" xmlns:r="http://schemas.openxmlformats.org/officeDocument/2006/relationships">
  <sheetPr codeName="Sheet9">
    <tabColor theme="7"/>
  </sheetPr>
  <dimension ref="A1:L47"/>
  <sheetViews>
    <sheetView zoomScale="110" zoomScaleNormal="110" workbookViewId="0">
      <pane xSplit="2" ySplit="2" topLeftCell="C3" activePane="bottomRight" state="frozen"/>
      <selection activeCell="B3" sqref="B3"/>
      <selection pane="topRight" activeCell="B3" sqref="B3"/>
      <selection pane="bottomLeft" activeCell="B3" sqref="B3"/>
      <selection pane="bottomRight" activeCell="F16" sqref="F16"/>
    </sheetView>
  </sheetViews>
  <sheetFormatPr defaultRowHeight="13.5"/>
  <cols>
    <col min="1" max="2" width="11.5" customWidth="1"/>
    <col min="3" max="3" width="7.75" customWidth="1"/>
    <col min="4" max="4" width="8.5" bestFit="1" customWidth="1"/>
    <col min="5" max="5" width="8.375" bestFit="1" customWidth="1"/>
    <col min="6" max="6" width="8" bestFit="1" customWidth="1"/>
    <col min="7" max="7" width="12.25" customWidth="1"/>
    <col min="8" max="8" width="7.75" customWidth="1"/>
    <col min="9" max="9" width="8" bestFit="1" customWidth="1"/>
    <col min="10" max="10" width="25.25" customWidth="1"/>
    <col min="11" max="11" width="41.875" style="120" customWidth="1"/>
    <col min="12" max="12" width="27.25" customWidth="1"/>
  </cols>
  <sheetData>
    <row r="1" spans="1:12" ht="24.75">
      <c r="A1" s="1747" t="s">
        <v>2047</v>
      </c>
      <c r="B1" s="1747"/>
      <c r="C1" s="1747"/>
      <c r="D1" s="1747"/>
      <c r="E1" s="1000"/>
      <c r="F1" s="1000"/>
      <c r="G1" s="1003" t="s">
        <v>2252</v>
      </c>
      <c r="H1" s="1002"/>
      <c r="I1" s="1002"/>
      <c r="J1" s="1002"/>
      <c r="K1" s="1001"/>
    </row>
    <row r="2" spans="1:12">
      <c r="A2" s="1748" t="s">
        <v>500</v>
      </c>
      <c r="B2" s="1748"/>
      <c r="C2" s="114" t="s">
        <v>501</v>
      </c>
      <c r="D2" s="994" t="s">
        <v>2045</v>
      </c>
      <c r="E2" s="436" t="s">
        <v>1714</v>
      </c>
      <c r="F2" s="436" t="s">
        <v>1591</v>
      </c>
      <c r="G2" s="998" t="s">
        <v>2046</v>
      </c>
      <c r="H2" s="436" t="s">
        <v>1706</v>
      </c>
      <c r="I2" s="436" t="s">
        <v>1481</v>
      </c>
      <c r="J2" s="114" t="s">
        <v>502</v>
      </c>
      <c r="K2" s="114" t="s">
        <v>503</v>
      </c>
    </row>
    <row r="3" spans="1:12" ht="72" customHeight="1">
      <c r="A3" s="1740" t="s">
        <v>504</v>
      </c>
      <c r="B3" s="1741"/>
      <c r="C3" s="202">
        <v>10</v>
      </c>
      <c r="D3" s="247">
        <v>12887</v>
      </c>
      <c r="E3" s="247">
        <v>6866.4620399999258</v>
      </c>
      <c r="F3" s="123">
        <v>-56972.250860999986</v>
      </c>
      <c r="G3" s="130">
        <f>IF(D3&gt;0,$C$3,0)</f>
        <v>10</v>
      </c>
      <c r="H3" s="130">
        <f>IF(E3&gt;0,$C$3,0)</f>
        <v>10</v>
      </c>
      <c r="I3" s="130">
        <f>IF(F3&gt;0,$C$3,0)</f>
        <v>0</v>
      </c>
      <c r="J3" s="117" t="s">
        <v>505</v>
      </c>
      <c r="K3" s="118" t="s">
        <v>506</v>
      </c>
    </row>
    <row r="4" spans="1:12">
      <c r="A4" s="1744" t="s">
        <v>507</v>
      </c>
      <c r="B4" s="115" t="s">
        <v>515</v>
      </c>
      <c r="C4" s="202">
        <v>2</v>
      </c>
      <c r="D4" s="123">
        <v>-19149.069132993747</v>
      </c>
      <c r="E4" s="123">
        <v>35053.349378916639</v>
      </c>
      <c r="F4" s="123">
        <v>10473.24775698343</v>
      </c>
      <c r="G4" s="130">
        <f>IF(D4&gt;0,$C$4,0)</f>
        <v>0</v>
      </c>
      <c r="H4" s="130">
        <f>IF(E4&gt;0,$C$4,0)</f>
        <v>2</v>
      </c>
      <c r="I4" s="130">
        <f>IF(F4&gt;0,$C$4,0)</f>
        <v>2</v>
      </c>
      <c r="J4" s="1737" t="s">
        <v>508</v>
      </c>
      <c r="K4" s="1749" t="s">
        <v>509</v>
      </c>
      <c r="L4" s="119"/>
    </row>
    <row r="5" spans="1:12">
      <c r="A5" s="1745"/>
      <c r="B5" s="115" t="s">
        <v>516</v>
      </c>
      <c r="C5" s="202">
        <v>2</v>
      </c>
      <c r="D5" s="123">
        <v>83915.507644563651</v>
      </c>
      <c r="E5" s="123">
        <v>49696.624818703349</v>
      </c>
      <c r="F5" s="123">
        <v>92667.829350529428</v>
      </c>
      <c r="G5" s="130">
        <f>IF(D5&gt;0,$C$5,0)</f>
        <v>2</v>
      </c>
      <c r="H5" s="130">
        <f>IF(E5&gt;0,$C$5,0)</f>
        <v>2</v>
      </c>
      <c r="I5" s="130">
        <f>IF(F5&gt;0,$C$5,0)</f>
        <v>2</v>
      </c>
      <c r="J5" s="1738"/>
      <c r="K5" s="1750"/>
      <c r="L5" s="119"/>
    </row>
    <row r="6" spans="1:12">
      <c r="A6" s="1745"/>
      <c r="B6" s="115" t="s">
        <v>517</v>
      </c>
      <c r="C6" s="202">
        <v>2</v>
      </c>
      <c r="D6" s="123">
        <v>94886.954604704457</v>
      </c>
      <c r="E6" s="123">
        <v>83698.924001150692</v>
      </c>
      <c r="F6" s="123">
        <v>49848.917485965343</v>
      </c>
      <c r="G6" s="130">
        <f>IF(D6&gt;0,$C$6,0)</f>
        <v>2</v>
      </c>
      <c r="H6" s="130">
        <f>IF(E6&gt;0,$C$6,0)</f>
        <v>2</v>
      </c>
      <c r="I6" s="130">
        <f>IF(F6&gt;0,$C$6,0)</f>
        <v>2</v>
      </c>
      <c r="J6" s="1738"/>
      <c r="K6" s="1750"/>
      <c r="L6" s="119"/>
    </row>
    <row r="7" spans="1:12">
      <c r="A7" s="1745"/>
      <c r="B7" s="115" t="s">
        <v>518</v>
      </c>
      <c r="C7" s="202">
        <v>2</v>
      </c>
      <c r="D7" s="123">
        <v>114891.07699179972</v>
      </c>
      <c r="E7" s="123">
        <v>86834.809589624958</v>
      </c>
      <c r="F7" s="123">
        <v>92244.268545112616</v>
      </c>
      <c r="G7" s="130">
        <f>IF(D7&gt;0,$C$7,0)</f>
        <v>2</v>
      </c>
      <c r="H7" s="130">
        <f>IF(E7&gt;0,$C$7,0)</f>
        <v>2</v>
      </c>
      <c r="I7" s="130">
        <f>IF(F7&gt;0,$C$7,0)</f>
        <v>2</v>
      </c>
      <c r="J7" s="1738"/>
      <c r="K7" s="1750"/>
      <c r="L7" s="119"/>
    </row>
    <row r="8" spans="1:12">
      <c r="A8" s="1745"/>
      <c r="B8" s="115" t="s">
        <v>519</v>
      </c>
      <c r="C8" s="202">
        <v>1</v>
      </c>
      <c r="D8" s="123">
        <v>372477.16527663387</v>
      </c>
      <c r="E8" s="247">
        <v>350967.35786633805</v>
      </c>
      <c r="F8" s="123">
        <v>349493.49974822561</v>
      </c>
      <c r="G8" s="130">
        <f>IF(D8&gt;0,$C$8,0)</f>
        <v>1</v>
      </c>
      <c r="H8" s="130">
        <f>IF(E8&gt;0,$C$8,0)</f>
        <v>1</v>
      </c>
      <c r="I8" s="130">
        <f>IF(F8&gt;0,$C$8,0)</f>
        <v>1</v>
      </c>
      <c r="J8" s="1738"/>
      <c r="K8" s="1750"/>
      <c r="L8" s="119"/>
    </row>
    <row r="9" spans="1:12">
      <c r="A9" s="1746"/>
      <c r="B9" s="115" t="s">
        <v>520</v>
      </c>
      <c r="C9" s="202">
        <v>1</v>
      </c>
      <c r="D9" s="123">
        <v>283863.91194832808</v>
      </c>
      <c r="E9" s="247">
        <v>276749.06961762381</v>
      </c>
      <c r="F9" s="123">
        <v>284392.54195775033</v>
      </c>
      <c r="G9" s="130">
        <f>IF(D9&gt;0,$C$9,0)</f>
        <v>1</v>
      </c>
      <c r="H9" s="130">
        <f>IF(E9&gt;0,$C$9,0)</f>
        <v>1</v>
      </c>
      <c r="I9" s="130">
        <f>IF(F9&gt;0,$C$9,0)</f>
        <v>1</v>
      </c>
      <c r="J9" s="1739"/>
      <c r="K9" s="1751"/>
      <c r="L9" s="119"/>
    </row>
    <row r="10" spans="1:12">
      <c r="A10" s="1744" t="s">
        <v>521</v>
      </c>
      <c r="B10" s="115" t="s">
        <v>515</v>
      </c>
      <c r="C10" s="202">
        <v>1</v>
      </c>
      <c r="D10" s="123">
        <v>-50179.783916212036</v>
      </c>
      <c r="E10" s="123">
        <v>4221.6552886031423</v>
      </c>
      <c r="F10" s="123">
        <v>-21130.092410094236</v>
      </c>
      <c r="G10" s="130">
        <f>IF(D10&gt;0,$C$10,0)</f>
        <v>0</v>
      </c>
      <c r="H10" s="130">
        <f>IF(E10&gt;0,$C$10,0)</f>
        <v>1</v>
      </c>
      <c r="I10" s="130">
        <f>IF(F10&gt;0,$C$10,0)</f>
        <v>0</v>
      </c>
      <c r="J10" s="1737" t="s">
        <v>510</v>
      </c>
      <c r="K10" s="1749" t="s">
        <v>511</v>
      </c>
    </row>
    <row r="11" spans="1:12">
      <c r="A11" s="1745"/>
      <c r="B11" s="115" t="s">
        <v>516</v>
      </c>
      <c r="C11" s="202">
        <v>1</v>
      </c>
      <c r="D11" s="123">
        <v>54499.025686040819</v>
      </c>
      <c r="E11" s="123">
        <v>19764.755655486304</v>
      </c>
      <c r="F11" s="123">
        <v>63027.442750746617</v>
      </c>
      <c r="G11" s="130">
        <f>IF(D11&gt;0,$C$11,0)</f>
        <v>1</v>
      </c>
      <c r="H11" s="130">
        <f>IF(E11&gt;0,$C$11,0)</f>
        <v>1</v>
      </c>
      <c r="I11" s="130">
        <f>IF(F11&gt;0,$C$11,0)</f>
        <v>1</v>
      </c>
      <c r="J11" s="1738"/>
      <c r="K11" s="1750"/>
    </row>
    <row r="12" spans="1:12">
      <c r="A12" s="1745"/>
      <c r="B12" s="115" t="s">
        <v>517</v>
      </c>
      <c r="C12" s="202">
        <v>1</v>
      </c>
      <c r="D12" s="123">
        <v>61073.317414095625</v>
      </c>
      <c r="E12" s="123">
        <v>56095.922079488562</v>
      </c>
      <c r="F12" s="123">
        <v>21951.863631030177</v>
      </c>
      <c r="G12" s="130">
        <f>IF(D12&gt;0,$C$12,0)</f>
        <v>1</v>
      </c>
      <c r="H12" s="130">
        <f>IF(E12&gt;0,$C$12,0)</f>
        <v>1</v>
      </c>
      <c r="I12" s="130">
        <f>IF(F12&gt;0,$C$12,0)</f>
        <v>1</v>
      </c>
      <c r="J12" s="1738"/>
      <c r="K12" s="1750"/>
    </row>
    <row r="13" spans="1:12">
      <c r="A13" s="1745"/>
      <c r="B13" s="115" t="s">
        <v>518</v>
      </c>
      <c r="C13" s="202">
        <v>1</v>
      </c>
      <c r="D13" s="123">
        <v>81894.119302683452</v>
      </c>
      <c r="E13" s="123">
        <v>55122.792900254957</v>
      </c>
      <c r="F13" s="123">
        <v>67397.932548907847</v>
      </c>
      <c r="G13" s="130">
        <f>IF(D13&gt;0,$C$13,0)</f>
        <v>1</v>
      </c>
      <c r="H13" s="130">
        <f>IF(E13&gt;0,$C$13,0)</f>
        <v>1</v>
      </c>
      <c r="I13" s="130">
        <f>IF(F13&gt;0,$C$13,0)</f>
        <v>1</v>
      </c>
      <c r="J13" s="1738"/>
      <c r="K13" s="1750"/>
    </row>
    <row r="14" spans="1:12">
      <c r="A14" s="1745"/>
      <c r="B14" s="115" t="s">
        <v>519</v>
      </c>
      <c r="C14" s="202">
        <v>0.5</v>
      </c>
      <c r="D14" s="123">
        <v>218801.8341672578</v>
      </c>
      <c r="E14" s="123">
        <v>191026.1148440128</v>
      </c>
      <c r="F14" s="123">
        <v>179381.39260713378</v>
      </c>
      <c r="G14" s="130">
        <f>IF(D14&gt;0,$C$14,0)</f>
        <v>0.5</v>
      </c>
      <c r="H14" s="130">
        <f>IF(E14&gt;0,$C$14,0)</f>
        <v>0.5</v>
      </c>
      <c r="I14" s="130">
        <f>IF(F14&gt;0,$C$14,0)</f>
        <v>0.5</v>
      </c>
      <c r="J14" s="1738"/>
      <c r="K14" s="1750"/>
    </row>
    <row r="15" spans="1:12">
      <c r="A15" s="1746"/>
      <c r="B15" s="115" t="s">
        <v>520</v>
      </c>
      <c r="C15" s="202">
        <v>0.5</v>
      </c>
      <c r="D15" s="123">
        <v>51817.739974335513</v>
      </c>
      <c r="E15" s="123">
        <v>38002.955846169418</v>
      </c>
      <c r="F15" s="123">
        <v>36575.9161110981</v>
      </c>
      <c r="G15" s="130">
        <f>IF(D15&gt;0,$C$15,0)</f>
        <v>0.5</v>
      </c>
      <c r="H15" s="130">
        <f>IF(E15&gt;0,$C$15,0)</f>
        <v>0.5</v>
      </c>
      <c r="I15" s="130">
        <f>IF(F15&gt;0,$C$15,0)</f>
        <v>0.5</v>
      </c>
      <c r="J15" s="1738"/>
      <c r="K15" s="1750"/>
    </row>
    <row r="16" spans="1:12">
      <c r="A16" s="1744" t="s">
        <v>539</v>
      </c>
      <c r="B16" s="115" t="s">
        <v>515</v>
      </c>
      <c r="C16" s="202">
        <v>1</v>
      </c>
      <c r="D16" s="123">
        <v>-26530.144824993746</v>
      </c>
      <c r="E16" s="123">
        <v>20618.639598916649</v>
      </c>
      <c r="F16" s="123">
        <v>-4158.8274873953342</v>
      </c>
      <c r="G16" s="130">
        <f>IF(D16&gt;0,$C$16,0)</f>
        <v>0</v>
      </c>
      <c r="H16" s="130">
        <f>IF(E16&gt;0,$C$16,0)</f>
        <v>1</v>
      </c>
      <c r="I16" s="130">
        <f>IF(F16&gt;0,$C$16,0)</f>
        <v>0</v>
      </c>
      <c r="J16" s="1738"/>
      <c r="K16" s="1750"/>
    </row>
    <row r="17" spans="1:11">
      <c r="A17" s="1745"/>
      <c r="B17" s="115" t="s">
        <v>516</v>
      </c>
      <c r="C17" s="202">
        <v>1</v>
      </c>
      <c r="D17" s="123">
        <v>70874.80310456366</v>
      </c>
      <c r="E17" s="123">
        <v>43423.863418703346</v>
      </c>
      <c r="F17" s="123">
        <v>79277.649131552709</v>
      </c>
      <c r="G17" s="130">
        <f>IF(D17&gt;0,$C$17,0)</f>
        <v>1</v>
      </c>
      <c r="H17" s="130">
        <f>IF(E17&gt;0,$C$17,0)</f>
        <v>1</v>
      </c>
      <c r="I17" s="130">
        <f>IF(F17&gt;0,$C$17,0)</f>
        <v>1</v>
      </c>
      <c r="J17" s="1738"/>
      <c r="K17" s="1750"/>
    </row>
    <row r="18" spans="1:11">
      <c r="A18" s="1745"/>
      <c r="B18" s="115" t="s">
        <v>517</v>
      </c>
      <c r="C18" s="202">
        <v>1</v>
      </c>
      <c r="D18" s="123">
        <v>83624.519673659728</v>
      </c>
      <c r="E18" s="123">
        <v>70610.246661150697</v>
      </c>
      <c r="F18" s="123">
        <v>43494.318146988633</v>
      </c>
      <c r="G18" s="130">
        <f>IF(D18&gt;0,$C$18,0)</f>
        <v>1</v>
      </c>
      <c r="H18" s="130">
        <f>IF(E18&gt;0,$C$18,0)</f>
        <v>1</v>
      </c>
      <c r="I18" s="130">
        <f>IF(F18&gt;0,$C$18,0)</f>
        <v>1</v>
      </c>
      <c r="J18" s="1738"/>
      <c r="K18" s="1750"/>
    </row>
    <row r="19" spans="1:11">
      <c r="A19" s="1745"/>
      <c r="B19" s="115" t="s">
        <v>518</v>
      </c>
      <c r="C19" s="202">
        <v>1</v>
      </c>
      <c r="D19" s="123">
        <v>100674.72081179972</v>
      </c>
      <c r="E19" s="123">
        <v>77123.510254163019</v>
      </c>
      <c r="F19" s="123">
        <v>77510.971450135898</v>
      </c>
      <c r="G19" s="130">
        <f>IF(D19&gt;0,$C$19,0)</f>
        <v>1</v>
      </c>
      <c r="H19" s="130">
        <f>IF(E19&gt;0,$C$19,0)</f>
        <v>1</v>
      </c>
      <c r="I19" s="130">
        <f>IF(F19&gt;0,$C$19,0)</f>
        <v>1</v>
      </c>
      <c r="J19" s="1738"/>
      <c r="K19" s="1750"/>
    </row>
    <row r="20" spans="1:11">
      <c r="A20" s="1745"/>
      <c r="B20" s="115" t="s">
        <v>519</v>
      </c>
      <c r="C20" s="202">
        <v>0.5</v>
      </c>
      <c r="D20" s="123">
        <v>325556.34793358913</v>
      </c>
      <c r="E20" s="123">
        <v>307115.50441087608</v>
      </c>
      <c r="F20" s="123">
        <v>306434.03355631873</v>
      </c>
      <c r="G20" s="130">
        <f>IF(D20&gt;0,$C$20,0)</f>
        <v>0.5</v>
      </c>
      <c r="H20" s="130">
        <f>IF(E20&gt;0,$C$20,0)</f>
        <v>0.5</v>
      </c>
      <c r="I20" s="130">
        <f>IF(F20&gt;0,$C$20,0)</f>
        <v>0.5</v>
      </c>
      <c r="J20" s="1738"/>
      <c r="K20" s="1750"/>
    </row>
    <row r="21" spans="1:11">
      <c r="A21" s="1746"/>
      <c r="B21" s="115" t="s">
        <v>520</v>
      </c>
      <c r="C21" s="202">
        <v>0.5</v>
      </c>
      <c r="D21" s="123">
        <v>264233.89623632806</v>
      </c>
      <c r="E21" s="123">
        <v>257651.42663762381</v>
      </c>
      <c r="F21" s="123">
        <v>264402.37576584343</v>
      </c>
      <c r="G21" s="130">
        <f>IF(D21&gt;0,$C$21,0)</f>
        <v>0.5</v>
      </c>
      <c r="H21" s="130">
        <f>IF(E21&gt;0,$C$21,0)</f>
        <v>0.5</v>
      </c>
      <c r="I21" s="130">
        <f>IF(F21&gt;0,$C$21,0)</f>
        <v>0.5</v>
      </c>
      <c r="J21" s="1739"/>
      <c r="K21" s="1751"/>
    </row>
    <row r="22" spans="1:11">
      <c r="A22" s="1744" t="s">
        <v>512</v>
      </c>
      <c r="B22" s="115" t="s">
        <v>522</v>
      </c>
      <c r="C22" s="202">
        <v>6</v>
      </c>
      <c r="D22" s="291">
        <v>2.7181697725433267</v>
      </c>
      <c r="E22" s="291">
        <v>4.7329032202129442</v>
      </c>
      <c r="F22" s="124">
        <v>3.1488987172294203</v>
      </c>
      <c r="G22" s="130">
        <f>IF(D22&gt;1,$C$22,0)</f>
        <v>6</v>
      </c>
      <c r="H22" s="130">
        <f>IF(E22&gt;1,$C$22,0)</f>
        <v>6</v>
      </c>
      <c r="I22" s="130">
        <f>IF(F22&gt;1,$C$22,0)</f>
        <v>6</v>
      </c>
      <c r="J22" s="1737" t="s">
        <v>513</v>
      </c>
      <c r="K22" s="1737" t="s">
        <v>514</v>
      </c>
    </row>
    <row r="23" spans="1:11">
      <c r="A23" s="1745"/>
      <c r="B23" s="115" t="s">
        <v>523</v>
      </c>
      <c r="C23" s="202">
        <v>6</v>
      </c>
      <c r="D23" s="291">
        <v>55.992824722856064</v>
      </c>
      <c r="E23" s="291">
        <v>171.85596750173036</v>
      </c>
      <c r="F23" s="124">
        <v>12.32632118986815</v>
      </c>
      <c r="G23" s="130">
        <f>IF(D23&gt;1,$C$23,0)</f>
        <v>6</v>
      </c>
      <c r="H23" s="130">
        <f>IF(E23&gt;1,$C$23,0)</f>
        <v>6</v>
      </c>
      <c r="I23" s="130">
        <f>IF(F23&gt;1,$C$23,0)</f>
        <v>6</v>
      </c>
      <c r="J23" s="1738"/>
      <c r="K23" s="1738"/>
    </row>
    <row r="24" spans="1:11">
      <c r="A24" s="1745"/>
      <c r="B24" s="115" t="s">
        <v>530</v>
      </c>
      <c r="C24" s="202">
        <v>6</v>
      </c>
      <c r="D24" s="291">
        <v>-2.4280989324443842</v>
      </c>
      <c r="E24" s="291">
        <v>-3.2032559869368411</v>
      </c>
      <c r="F24" s="124">
        <v>-4.0221001612219531</v>
      </c>
      <c r="G24" s="131">
        <v>6</v>
      </c>
      <c r="H24" s="131">
        <v>6</v>
      </c>
      <c r="I24" s="131">
        <v>6</v>
      </c>
      <c r="J24" s="1738"/>
      <c r="K24" s="1738"/>
    </row>
    <row r="25" spans="1:11">
      <c r="A25" s="1745"/>
      <c r="B25" s="115" t="s">
        <v>531</v>
      </c>
      <c r="C25" s="202">
        <v>6</v>
      </c>
      <c r="D25" s="291">
        <v>-3.5149553569975356</v>
      </c>
      <c r="E25" s="291">
        <v>-3.3794065353698781</v>
      </c>
      <c r="F25" s="124">
        <v>-3.2494974026707326</v>
      </c>
      <c r="G25" s="131">
        <v>6</v>
      </c>
      <c r="H25" s="131">
        <v>6</v>
      </c>
      <c r="I25" s="131">
        <v>6</v>
      </c>
      <c r="J25" s="1738"/>
      <c r="K25" s="1738"/>
    </row>
    <row r="26" spans="1:11">
      <c r="A26" s="1746"/>
      <c r="B26" s="115" t="s">
        <v>532</v>
      </c>
      <c r="C26" s="202">
        <v>6</v>
      </c>
      <c r="D26" s="291">
        <v>0.14462221876849077</v>
      </c>
      <c r="E26" s="291">
        <v>0.14132635115121184</v>
      </c>
      <c r="F26" s="124">
        <v>0.12615024641926886</v>
      </c>
      <c r="G26" s="130">
        <f t="shared" ref="G26:I26" si="0">IF(D26&gt;1,$C$23,0)</f>
        <v>0</v>
      </c>
      <c r="H26" s="130">
        <f t="shared" si="0"/>
        <v>0</v>
      </c>
      <c r="I26" s="130">
        <f t="shared" si="0"/>
        <v>0</v>
      </c>
      <c r="J26" s="1739"/>
      <c r="K26" s="1739"/>
    </row>
    <row r="27" spans="1:11">
      <c r="A27" s="1742" t="s">
        <v>535</v>
      </c>
      <c r="B27" s="122" t="s">
        <v>534</v>
      </c>
      <c r="C27" s="202">
        <v>7.5</v>
      </c>
      <c r="D27" s="248">
        <v>10.796312254564519</v>
      </c>
      <c r="E27" s="248">
        <v>15.200549668404097</v>
      </c>
      <c r="F27" s="249">
        <v>11.712037633558889</v>
      </c>
      <c r="G27" s="116">
        <v>7.5</v>
      </c>
      <c r="H27" s="116">
        <v>7.5</v>
      </c>
      <c r="I27" s="116">
        <v>7.5</v>
      </c>
      <c r="J27" s="1737" t="s">
        <v>533</v>
      </c>
      <c r="K27" s="1737" t="s">
        <v>545</v>
      </c>
    </row>
    <row r="28" spans="1:11">
      <c r="A28" s="1743"/>
      <c r="B28" s="122" t="s">
        <v>536</v>
      </c>
      <c r="C28" s="202">
        <v>7.5</v>
      </c>
      <c r="D28" s="248">
        <v>2.888522836693094</v>
      </c>
      <c r="E28" s="248">
        <v>6.0385559010994951</v>
      </c>
      <c r="F28" s="249">
        <v>11.169437327783708</v>
      </c>
      <c r="G28" s="116">
        <v>7.5</v>
      </c>
      <c r="H28" s="116">
        <v>7.5</v>
      </c>
      <c r="I28" s="116">
        <v>7.5</v>
      </c>
      <c r="J28" s="1738"/>
      <c r="K28" s="1738"/>
    </row>
    <row r="29" spans="1:11">
      <c r="A29" s="1742" t="s">
        <v>537</v>
      </c>
      <c r="B29" s="122" t="s">
        <v>534</v>
      </c>
      <c r="C29" s="202">
        <v>7.5</v>
      </c>
      <c r="D29" s="248">
        <v>15.509956524935099</v>
      </c>
      <c r="E29" s="248">
        <v>14.611846764751498</v>
      </c>
      <c r="F29" s="249">
        <v>4.6289493831691297</v>
      </c>
      <c r="G29" s="116">
        <v>7.5</v>
      </c>
      <c r="H29" s="116">
        <v>7.5</v>
      </c>
      <c r="I29" s="116">
        <v>7.5</v>
      </c>
      <c r="J29" s="1738"/>
      <c r="K29" s="1738"/>
    </row>
    <row r="30" spans="1:11">
      <c r="A30" s="1743"/>
      <c r="B30" s="122" t="s">
        <v>536</v>
      </c>
      <c r="C30" s="202">
        <v>7.5</v>
      </c>
      <c r="D30" s="248">
        <v>5.8453137665084922</v>
      </c>
      <c r="E30" s="248">
        <v>23.111262356725202</v>
      </c>
      <c r="F30" s="249">
        <v>14.169172624371319</v>
      </c>
      <c r="G30" s="116">
        <v>7.5</v>
      </c>
      <c r="H30" s="116">
        <v>7.5</v>
      </c>
      <c r="I30" s="116">
        <v>7.5</v>
      </c>
      <c r="J30" s="1739"/>
      <c r="K30" s="1739"/>
    </row>
    <row r="31" spans="1:11">
      <c r="A31" s="133" t="s">
        <v>546</v>
      </c>
      <c r="B31" s="132"/>
      <c r="C31" s="132"/>
      <c r="D31" s="132"/>
      <c r="E31" s="132"/>
      <c r="F31" s="132"/>
      <c r="G31" s="134">
        <f>SUM(G3:G30)</f>
        <v>80</v>
      </c>
      <c r="H31" s="134">
        <f>SUM(H3:H30)</f>
        <v>84</v>
      </c>
      <c r="I31" s="134">
        <f>SUM(I3:I30)</f>
        <v>72</v>
      </c>
    </row>
    <row r="32" spans="1:11">
      <c r="A32" s="133" t="s">
        <v>547</v>
      </c>
      <c r="B32" s="132"/>
      <c r="C32" s="132"/>
      <c r="D32" s="132"/>
      <c r="E32" s="132"/>
      <c r="F32" s="132"/>
      <c r="G32" s="134">
        <f>90-G31</f>
        <v>10</v>
      </c>
      <c r="H32" s="134">
        <f>90-H31</f>
        <v>6</v>
      </c>
      <c r="I32" s="134">
        <f>90-I31</f>
        <v>18</v>
      </c>
    </row>
    <row r="33" spans="1:10">
      <c r="A33" s="133" t="s">
        <v>548</v>
      </c>
      <c r="B33" s="132"/>
      <c r="C33" s="132"/>
      <c r="D33" s="132"/>
      <c r="E33" s="132"/>
      <c r="F33" s="132"/>
      <c r="G33" s="134">
        <f>G31/90*100</f>
        <v>88.888888888888886</v>
      </c>
      <c r="H33" s="134">
        <f>H31/90*100</f>
        <v>93.333333333333329</v>
      </c>
      <c r="I33" s="134">
        <f>I31/90*100</f>
        <v>80</v>
      </c>
    </row>
    <row r="34" spans="1:10">
      <c r="A34" s="133" t="s">
        <v>549</v>
      </c>
      <c r="B34" s="132"/>
      <c r="C34" s="132"/>
      <c r="D34" s="132"/>
      <c r="E34" s="132"/>
      <c r="F34" s="132"/>
      <c r="G34" s="134">
        <f>-G32/90*100*0.25</f>
        <v>-2.7777777777777777</v>
      </c>
      <c r="H34" s="134">
        <f>-H32/90*100*0.25</f>
        <v>-1.6666666666666667</v>
      </c>
      <c r="I34" s="134">
        <f>-I32/90*100*0.25</f>
        <v>-5</v>
      </c>
    </row>
    <row r="36" spans="1:10" ht="14.25">
      <c r="A36" s="18" t="s">
        <v>284</v>
      </c>
      <c r="G36" s="135">
        <f>G33</f>
        <v>88.888888888888886</v>
      </c>
      <c r="H36" s="135">
        <f>H33</f>
        <v>93.333333333333329</v>
      </c>
      <c r="I36" s="135">
        <f>I33</f>
        <v>80</v>
      </c>
      <c r="J36" s="138"/>
    </row>
    <row r="37" spans="1:10" ht="14.25">
      <c r="A37" s="18" t="s">
        <v>550</v>
      </c>
      <c r="G37" s="135">
        <v>0</v>
      </c>
      <c r="H37" s="135">
        <v>0</v>
      </c>
      <c r="I37" s="135">
        <v>0</v>
      </c>
    </row>
    <row r="38" spans="1:10" ht="14.25">
      <c r="A38" s="18" t="s">
        <v>552</v>
      </c>
      <c r="G38" s="135">
        <v>0</v>
      </c>
      <c r="H38" s="135">
        <v>0</v>
      </c>
      <c r="I38" s="135">
        <v>0</v>
      </c>
    </row>
    <row r="39" spans="1:10" ht="14.25">
      <c r="A39" s="18" t="s">
        <v>551</v>
      </c>
      <c r="G39" s="135">
        <v>0</v>
      </c>
      <c r="H39" s="135">
        <v>0</v>
      </c>
      <c r="I39" s="135">
        <v>0</v>
      </c>
    </row>
    <row r="40" spans="1:10" ht="14.25">
      <c r="A40" s="18" t="s">
        <v>553</v>
      </c>
      <c r="G40" s="135">
        <f>100-SUM(G36:G39)</f>
        <v>11.111111111111114</v>
      </c>
      <c r="H40" s="135">
        <f>100-SUM(H36:H39)</f>
        <v>6.6666666666666714</v>
      </c>
      <c r="I40" s="135">
        <f>100-SUM(I36:I39)</f>
        <v>20</v>
      </c>
      <c r="J40" s="137"/>
    </row>
    <row r="46" spans="1:10">
      <c r="A46" s="860" t="s">
        <v>1960</v>
      </c>
    </row>
    <row r="47" spans="1:10">
      <c r="A47" s="893" t="s">
        <v>2008</v>
      </c>
    </row>
  </sheetData>
  <mergeCells count="17">
    <mergeCell ref="A1:D1"/>
    <mergeCell ref="A2:B2"/>
    <mergeCell ref="K4:K9"/>
    <mergeCell ref="J4:J9"/>
    <mergeCell ref="A10:A15"/>
    <mergeCell ref="K10:K21"/>
    <mergeCell ref="J10:J21"/>
    <mergeCell ref="A4:A9"/>
    <mergeCell ref="K27:K30"/>
    <mergeCell ref="J27:J30"/>
    <mergeCell ref="A3:B3"/>
    <mergeCell ref="A27:A28"/>
    <mergeCell ref="A29:A30"/>
    <mergeCell ref="A16:A21"/>
    <mergeCell ref="A22:A26"/>
    <mergeCell ref="J22:J26"/>
    <mergeCell ref="K22:K26"/>
  </mergeCells>
  <phoneticPr fontId="3" type="noConversion"/>
  <conditionalFormatting sqref="I3">
    <cfRule type="cellIs" dxfId="6" priority="15" operator="notEqual">
      <formula>$C3</formula>
    </cfRule>
  </conditionalFormatting>
  <conditionalFormatting sqref="I4:I23 I26">
    <cfRule type="cellIs" dxfId="5" priority="14" operator="notEqual">
      <formula>$C4</formula>
    </cfRule>
  </conditionalFormatting>
  <conditionalFormatting sqref="H3">
    <cfRule type="cellIs" dxfId="4" priority="13" operator="notEqual">
      <formula>$C3</formula>
    </cfRule>
  </conditionalFormatting>
  <conditionalFormatting sqref="H4:H23 H26">
    <cfRule type="cellIs" dxfId="3" priority="12" operator="notEqual">
      <formula>$C4</formula>
    </cfRule>
  </conditionalFormatting>
  <conditionalFormatting sqref="G3">
    <cfRule type="cellIs" dxfId="2" priority="2" operator="notEqual">
      <formula>$C3</formula>
    </cfRule>
  </conditionalFormatting>
  <conditionalFormatting sqref="G4:G23 G26">
    <cfRule type="cellIs" dxfId="1" priority="1" operator="notEqual">
      <formula>$C4</formula>
    </cfRule>
  </conditionalFormatting>
  <hyperlinks>
    <hyperlink ref="A46" location="权重!A1" display="权重!A1"/>
    <hyperlink ref="A47" location="目录!A1" display="目录!A1"/>
  </hyperlinks>
  <pageMargins left="0.70866141732283472" right="0.70866141732283472" top="0.74803149606299213" bottom="0.74803149606299213" header="0.31496062992125984" footer="0.31496062992125984"/>
  <pageSetup paperSize="9" scale="90" orientation="landscape" r:id="rId1"/>
  <legacyDrawing r:id="rId2"/>
</worksheet>
</file>

<file path=xl/worksheets/sheet28.xml><?xml version="1.0" encoding="utf-8"?>
<worksheet xmlns="http://schemas.openxmlformats.org/spreadsheetml/2006/main" xmlns:r="http://schemas.openxmlformats.org/officeDocument/2006/relationships">
  <sheetPr>
    <tabColor theme="5" tint="0.39997558519241921"/>
  </sheetPr>
  <dimension ref="A1:M102"/>
  <sheetViews>
    <sheetView zoomScale="84" zoomScaleNormal="84" workbookViewId="0">
      <pane xSplit="2" ySplit="3" topLeftCell="D4" activePane="bottomRight" state="frozen"/>
      <selection activeCell="A3" sqref="A3:B3"/>
      <selection pane="topRight" activeCell="A3" sqref="A3:B3"/>
      <selection pane="bottomLeft" activeCell="A3" sqref="A3:B3"/>
      <selection pane="bottomRight" activeCell="J82" sqref="J82"/>
    </sheetView>
  </sheetViews>
  <sheetFormatPr defaultColWidth="8.875" defaultRowHeight="13.5"/>
  <cols>
    <col min="1" max="1" width="12.375" style="143" customWidth="1"/>
    <col min="2" max="2" width="41.625" style="143" customWidth="1"/>
    <col min="3" max="3" width="69.5" style="143" customWidth="1"/>
    <col min="4" max="4" width="11.375" style="143" customWidth="1"/>
    <col min="5" max="5" width="11.25" style="143" customWidth="1"/>
    <col min="6" max="6" width="8.375" style="143" customWidth="1"/>
    <col min="7" max="7" width="10.25" style="143" bestFit="1" customWidth="1"/>
    <col min="8" max="8" width="8.25" style="143" customWidth="1"/>
    <col min="9" max="16384" width="8.875" style="143"/>
  </cols>
  <sheetData>
    <row r="1" spans="1:13" ht="21" customHeight="1">
      <c r="A1" s="142" t="s">
        <v>585</v>
      </c>
    </row>
    <row r="2" spans="1:13" ht="27" customHeight="1">
      <c r="A2" s="466" t="s">
        <v>586</v>
      </c>
      <c r="B2" s="466"/>
      <c r="C2" s="466"/>
      <c r="D2" s="466"/>
      <c r="E2" s="1759">
        <v>2016</v>
      </c>
      <c r="F2" s="1759"/>
      <c r="G2" s="1759">
        <v>2017</v>
      </c>
      <c r="H2" s="1759"/>
      <c r="I2" s="144"/>
      <c r="J2" s="144"/>
      <c r="K2" s="144"/>
      <c r="L2" s="144"/>
      <c r="M2" s="144"/>
    </row>
    <row r="3" spans="1:13" ht="21" customHeight="1">
      <c r="A3" s="145" t="s">
        <v>583</v>
      </c>
      <c r="B3" s="145" t="s">
        <v>587</v>
      </c>
      <c r="C3" s="145" t="s">
        <v>588</v>
      </c>
      <c r="D3" s="145" t="s">
        <v>584</v>
      </c>
      <c r="E3" s="145" t="s">
        <v>589</v>
      </c>
      <c r="F3" s="145" t="s">
        <v>590</v>
      </c>
      <c r="G3" s="145" t="s">
        <v>1900</v>
      </c>
      <c r="H3" s="145" t="s">
        <v>590</v>
      </c>
      <c r="I3" s="144"/>
      <c r="J3" s="144"/>
      <c r="K3" s="144"/>
      <c r="L3" s="144"/>
      <c r="M3" s="144"/>
    </row>
    <row r="4" spans="1:13" ht="21" customHeight="1">
      <c r="A4" s="1755" t="s">
        <v>591</v>
      </c>
      <c r="B4" s="146" t="s">
        <v>592</v>
      </c>
      <c r="C4" s="146" t="s">
        <v>593</v>
      </c>
      <c r="D4" s="147">
        <v>1</v>
      </c>
      <c r="E4" s="147" t="s">
        <v>594</v>
      </c>
      <c r="F4" s="148">
        <f>D4</f>
        <v>1</v>
      </c>
      <c r="G4" s="147" t="s">
        <v>1901</v>
      </c>
      <c r="H4" s="806">
        <v>1</v>
      </c>
    </row>
    <row r="5" spans="1:13" ht="21" customHeight="1">
      <c r="A5" s="1755"/>
      <c r="B5" s="1756" t="s">
        <v>595</v>
      </c>
      <c r="C5" s="146" t="s">
        <v>596</v>
      </c>
      <c r="D5" s="147">
        <v>1</v>
      </c>
      <c r="E5" s="147" t="s">
        <v>594</v>
      </c>
      <c r="F5" s="148">
        <f t="shared" ref="F5:F17" si="0">D5</f>
        <v>1</v>
      </c>
      <c r="G5" s="147" t="s">
        <v>1901</v>
      </c>
      <c r="H5" s="806">
        <v>1</v>
      </c>
    </row>
    <row r="6" spans="1:13" ht="21" customHeight="1">
      <c r="A6" s="1755"/>
      <c r="B6" s="1756"/>
      <c r="C6" s="146" t="s">
        <v>597</v>
      </c>
      <c r="D6" s="147">
        <v>1</v>
      </c>
      <c r="E6" s="147" t="s">
        <v>594</v>
      </c>
      <c r="F6" s="148">
        <f t="shared" si="0"/>
        <v>1</v>
      </c>
      <c r="G6" s="147" t="s">
        <v>1901</v>
      </c>
      <c r="H6" s="806">
        <v>1</v>
      </c>
    </row>
    <row r="7" spans="1:13" ht="21" customHeight="1">
      <c r="A7" s="1755"/>
      <c r="B7" s="1756" t="s">
        <v>598</v>
      </c>
      <c r="C7" s="146" t="s">
        <v>599</v>
      </c>
      <c r="D7" s="147">
        <v>1</v>
      </c>
      <c r="E7" s="147" t="s">
        <v>594</v>
      </c>
      <c r="F7" s="148">
        <f t="shared" si="0"/>
        <v>1</v>
      </c>
      <c r="G7" s="147" t="s">
        <v>1901</v>
      </c>
      <c r="H7" s="806">
        <v>1</v>
      </c>
    </row>
    <row r="8" spans="1:13" ht="21" customHeight="1">
      <c r="A8" s="1755"/>
      <c r="B8" s="1756"/>
      <c r="C8" s="146" t="s">
        <v>600</v>
      </c>
      <c r="D8" s="147">
        <v>1</v>
      </c>
      <c r="E8" s="147" t="s">
        <v>594</v>
      </c>
      <c r="F8" s="148">
        <f t="shared" si="0"/>
        <v>1</v>
      </c>
      <c r="G8" s="147" t="s">
        <v>1901</v>
      </c>
      <c r="H8" s="806">
        <v>1</v>
      </c>
    </row>
    <row r="9" spans="1:13" ht="21" customHeight="1">
      <c r="A9" s="1755"/>
      <c r="B9" s="146" t="s">
        <v>601</v>
      </c>
      <c r="C9" s="146" t="s">
        <v>602</v>
      </c>
      <c r="D9" s="147">
        <v>1</v>
      </c>
      <c r="E9" s="147" t="s">
        <v>594</v>
      </c>
      <c r="F9" s="148">
        <f t="shared" si="0"/>
        <v>1</v>
      </c>
      <c r="G9" s="147" t="s">
        <v>1901</v>
      </c>
      <c r="H9" s="806">
        <v>1</v>
      </c>
    </row>
    <row r="10" spans="1:13" ht="21" customHeight="1">
      <c r="A10" s="1755"/>
      <c r="B10" s="146" t="s">
        <v>603</v>
      </c>
      <c r="C10" s="146" t="s">
        <v>604</v>
      </c>
      <c r="D10" s="147">
        <v>1</v>
      </c>
      <c r="E10" s="147" t="s">
        <v>594</v>
      </c>
      <c r="F10" s="148">
        <f t="shared" si="0"/>
        <v>1</v>
      </c>
      <c r="G10" s="147" t="s">
        <v>1901</v>
      </c>
      <c r="H10" s="806">
        <v>1</v>
      </c>
    </row>
    <row r="11" spans="1:13" ht="21" customHeight="1">
      <c r="A11" s="1755" t="s">
        <v>605</v>
      </c>
      <c r="B11" s="1756" t="s">
        <v>606</v>
      </c>
      <c r="C11" s="146" t="s">
        <v>607</v>
      </c>
      <c r="D11" s="147">
        <v>2</v>
      </c>
      <c r="E11" s="147" t="s">
        <v>594</v>
      </c>
      <c r="F11" s="148">
        <f t="shared" si="0"/>
        <v>2</v>
      </c>
      <c r="G11" s="147" t="s">
        <v>1901</v>
      </c>
      <c r="H11" s="806">
        <v>2</v>
      </c>
    </row>
    <row r="12" spans="1:13" ht="21" customHeight="1">
      <c r="A12" s="1755"/>
      <c r="B12" s="1756"/>
      <c r="C12" s="146" t="s">
        <v>608</v>
      </c>
      <c r="D12" s="147">
        <v>2</v>
      </c>
      <c r="E12" s="147" t="s">
        <v>594</v>
      </c>
      <c r="F12" s="148">
        <f t="shared" si="0"/>
        <v>2</v>
      </c>
      <c r="G12" s="147" t="s">
        <v>1901</v>
      </c>
      <c r="H12" s="806">
        <v>2</v>
      </c>
    </row>
    <row r="13" spans="1:13" ht="21" customHeight="1">
      <c r="A13" s="1755"/>
      <c r="B13" s="1756" t="s">
        <v>609</v>
      </c>
      <c r="C13" s="146" t="s">
        <v>610</v>
      </c>
      <c r="D13" s="147">
        <v>1</v>
      </c>
      <c r="E13" s="147" t="s">
        <v>594</v>
      </c>
      <c r="F13" s="148">
        <f t="shared" si="0"/>
        <v>1</v>
      </c>
      <c r="G13" s="147" t="s">
        <v>1901</v>
      </c>
      <c r="H13" s="806">
        <v>1</v>
      </c>
    </row>
    <row r="14" spans="1:13" ht="21" customHeight="1">
      <c r="A14" s="1755"/>
      <c r="B14" s="1756"/>
      <c r="C14" s="146" t="s">
        <v>611</v>
      </c>
      <c r="D14" s="147">
        <v>1</v>
      </c>
      <c r="E14" s="147" t="s">
        <v>594</v>
      </c>
      <c r="F14" s="148">
        <f t="shared" si="0"/>
        <v>1</v>
      </c>
      <c r="G14" s="147" t="s">
        <v>1901</v>
      </c>
      <c r="H14" s="806">
        <v>1</v>
      </c>
    </row>
    <row r="15" spans="1:13" ht="21" customHeight="1">
      <c r="A15" s="1755"/>
      <c r="B15" s="146" t="s">
        <v>612</v>
      </c>
      <c r="C15" s="146" t="s">
        <v>613</v>
      </c>
      <c r="D15" s="147">
        <v>1</v>
      </c>
      <c r="E15" s="147" t="s">
        <v>614</v>
      </c>
      <c r="F15" s="148"/>
      <c r="G15" s="147" t="s">
        <v>1902</v>
      </c>
      <c r="H15" s="806"/>
    </row>
    <row r="16" spans="1:13" ht="21" customHeight="1">
      <c r="A16" s="1755"/>
      <c r="B16" s="1756" t="s">
        <v>615</v>
      </c>
      <c r="C16" s="146" t="s">
        <v>616</v>
      </c>
      <c r="D16" s="147">
        <v>1</v>
      </c>
      <c r="E16" s="147" t="s">
        <v>594</v>
      </c>
      <c r="F16" s="148">
        <f t="shared" si="0"/>
        <v>1</v>
      </c>
      <c r="G16" s="147" t="s">
        <v>1901</v>
      </c>
      <c r="H16" s="806">
        <v>1</v>
      </c>
    </row>
    <row r="17" spans="1:8">
      <c r="A17" s="1755"/>
      <c r="B17" s="1756"/>
      <c r="C17" s="146" t="s">
        <v>617</v>
      </c>
      <c r="D17" s="147">
        <v>2</v>
      </c>
      <c r="E17" s="147" t="s">
        <v>594</v>
      </c>
      <c r="F17" s="148">
        <f t="shared" si="0"/>
        <v>2</v>
      </c>
      <c r="G17" s="147" t="s">
        <v>1901</v>
      </c>
      <c r="H17" s="806">
        <v>2</v>
      </c>
    </row>
    <row r="18" spans="1:8">
      <c r="A18" s="1755"/>
      <c r="B18" s="810" t="s">
        <v>618</v>
      </c>
      <c r="C18" s="146" t="s">
        <v>619</v>
      </c>
      <c r="D18" s="147">
        <v>1</v>
      </c>
      <c r="E18" s="149" t="s">
        <v>620</v>
      </c>
      <c r="F18" s="150">
        <v>0</v>
      </c>
      <c r="G18" s="803" t="s">
        <v>1901</v>
      </c>
      <c r="H18" s="807">
        <v>1</v>
      </c>
    </row>
    <row r="19" spans="1:8">
      <c r="A19" s="1755"/>
      <c r="B19" s="1756" t="s">
        <v>621</v>
      </c>
      <c r="C19" s="146" t="s">
        <v>622</v>
      </c>
      <c r="D19" s="147">
        <v>2</v>
      </c>
      <c r="E19" s="147" t="s">
        <v>594</v>
      </c>
      <c r="F19" s="148">
        <f>D19</f>
        <v>2</v>
      </c>
      <c r="G19" s="147" t="s">
        <v>1901</v>
      </c>
      <c r="H19" s="806">
        <v>2</v>
      </c>
    </row>
    <row r="20" spans="1:8">
      <c r="A20" s="1755"/>
      <c r="B20" s="1756"/>
      <c r="C20" s="146" t="s">
        <v>623</v>
      </c>
      <c r="D20" s="147">
        <v>2</v>
      </c>
      <c r="E20" s="147" t="s">
        <v>594</v>
      </c>
      <c r="F20" s="148">
        <f t="shared" ref="F20:F37" si="1">D20</f>
        <v>2</v>
      </c>
      <c r="G20" s="147" t="s">
        <v>1901</v>
      </c>
      <c r="H20" s="806">
        <v>2</v>
      </c>
    </row>
    <row r="21" spans="1:8">
      <c r="A21" s="1755" t="s">
        <v>624</v>
      </c>
      <c r="B21" s="1756" t="s">
        <v>625</v>
      </c>
      <c r="C21" s="146" t="s">
        <v>626</v>
      </c>
      <c r="D21" s="147">
        <v>2</v>
      </c>
      <c r="E21" s="147" t="s">
        <v>594</v>
      </c>
      <c r="F21" s="148">
        <f t="shared" si="1"/>
        <v>2</v>
      </c>
      <c r="G21" s="147" t="s">
        <v>1901</v>
      </c>
      <c r="H21" s="806">
        <v>2</v>
      </c>
    </row>
    <row r="22" spans="1:8">
      <c r="A22" s="1755"/>
      <c r="B22" s="1756"/>
      <c r="C22" s="146" t="s">
        <v>627</v>
      </c>
      <c r="D22" s="147">
        <v>2</v>
      </c>
      <c r="E22" s="147" t="s">
        <v>594</v>
      </c>
      <c r="F22" s="148">
        <f t="shared" si="1"/>
        <v>2</v>
      </c>
      <c r="G22" s="147" t="s">
        <v>1901</v>
      </c>
      <c r="H22" s="806">
        <v>2</v>
      </c>
    </row>
    <row r="23" spans="1:8">
      <c r="A23" s="1755"/>
      <c r="B23" s="1756" t="s">
        <v>628</v>
      </c>
      <c r="C23" s="146" t="s">
        <v>629</v>
      </c>
      <c r="D23" s="147">
        <v>1</v>
      </c>
      <c r="E23" s="147" t="s">
        <v>594</v>
      </c>
      <c r="F23" s="148">
        <f t="shared" si="1"/>
        <v>1</v>
      </c>
      <c r="G23" s="147" t="s">
        <v>1901</v>
      </c>
      <c r="H23" s="806">
        <v>1</v>
      </c>
    </row>
    <row r="24" spans="1:8" ht="27">
      <c r="A24" s="1755"/>
      <c r="B24" s="1756"/>
      <c r="C24" s="146" t="s">
        <v>630</v>
      </c>
      <c r="D24" s="147">
        <v>1</v>
      </c>
      <c r="E24" s="147" t="s">
        <v>594</v>
      </c>
      <c r="F24" s="148">
        <f t="shared" si="1"/>
        <v>1</v>
      </c>
      <c r="G24" s="147" t="s">
        <v>1901</v>
      </c>
      <c r="H24" s="806">
        <v>1</v>
      </c>
    </row>
    <row r="25" spans="1:8">
      <c r="A25" s="1755"/>
      <c r="B25" s="1756"/>
      <c r="C25" s="146" t="s">
        <v>631</v>
      </c>
      <c r="D25" s="147">
        <v>1</v>
      </c>
      <c r="E25" s="147" t="s">
        <v>594</v>
      </c>
      <c r="F25" s="148">
        <f t="shared" si="1"/>
        <v>1</v>
      </c>
      <c r="G25" s="147" t="s">
        <v>1901</v>
      </c>
      <c r="H25" s="806">
        <v>1</v>
      </c>
    </row>
    <row r="26" spans="1:8">
      <c r="A26" s="1755" t="s">
        <v>632</v>
      </c>
      <c r="B26" s="1756" t="s">
        <v>633</v>
      </c>
      <c r="C26" s="146" t="s">
        <v>634</v>
      </c>
      <c r="D26" s="147">
        <v>1</v>
      </c>
      <c r="E26" s="147" t="s">
        <v>594</v>
      </c>
      <c r="F26" s="148">
        <f t="shared" si="1"/>
        <v>1</v>
      </c>
      <c r="G26" s="147" t="s">
        <v>1901</v>
      </c>
      <c r="H26" s="806">
        <v>1</v>
      </c>
    </row>
    <row r="27" spans="1:8">
      <c r="A27" s="1755"/>
      <c r="B27" s="1756"/>
      <c r="C27" s="146" t="s">
        <v>635</v>
      </c>
      <c r="D27" s="147">
        <v>2</v>
      </c>
      <c r="E27" s="147" t="s">
        <v>594</v>
      </c>
      <c r="F27" s="148">
        <f t="shared" si="1"/>
        <v>2</v>
      </c>
      <c r="G27" s="147" t="s">
        <v>1901</v>
      </c>
      <c r="H27" s="806">
        <v>2</v>
      </c>
    </row>
    <row r="28" spans="1:8">
      <c r="A28" s="1755"/>
      <c r="B28" s="1756"/>
      <c r="C28" s="146" t="s">
        <v>636</v>
      </c>
      <c r="D28" s="147">
        <v>2</v>
      </c>
      <c r="E28" s="147" t="s">
        <v>594</v>
      </c>
      <c r="F28" s="148">
        <f t="shared" si="1"/>
        <v>2</v>
      </c>
      <c r="G28" s="147" t="s">
        <v>1901</v>
      </c>
      <c r="H28" s="806">
        <v>2</v>
      </c>
    </row>
    <row r="29" spans="1:8">
      <c r="A29" s="1755"/>
      <c r="B29" s="1756" t="s">
        <v>637</v>
      </c>
      <c r="C29" s="146" t="s">
        <v>638</v>
      </c>
      <c r="D29" s="147">
        <v>2</v>
      </c>
      <c r="E29" s="147" t="s">
        <v>594</v>
      </c>
      <c r="F29" s="148">
        <f t="shared" si="1"/>
        <v>2</v>
      </c>
      <c r="G29" s="147" t="s">
        <v>1901</v>
      </c>
      <c r="H29" s="806">
        <v>2</v>
      </c>
    </row>
    <row r="30" spans="1:8">
      <c r="A30" s="1755"/>
      <c r="B30" s="1756"/>
      <c r="C30" s="146" t="s">
        <v>639</v>
      </c>
      <c r="D30" s="147">
        <v>2</v>
      </c>
      <c r="E30" s="147" t="s">
        <v>594</v>
      </c>
      <c r="F30" s="148">
        <f t="shared" si="1"/>
        <v>2</v>
      </c>
      <c r="G30" s="147" t="s">
        <v>1901</v>
      </c>
      <c r="H30" s="806">
        <v>2</v>
      </c>
    </row>
    <row r="31" spans="1:8">
      <c r="A31" s="1755"/>
      <c r="B31" s="146" t="s">
        <v>640</v>
      </c>
      <c r="C31" s="146" t="s">
        <v>641</v>
      </c>
      <c r="D31" s="147">
        <v>2</v>
      </c>
      <c r="E31" s="147" t="s">
        <v>594</v>
      </c>
      <c r="F31" s="148">
        <f t="shared" si="1"/>
        <v>2</v>
      </c>
      <c r="G31" s="147" t="s">
        <v>1901</v>
      </c>
      <c r="H31" s="806">
        <v>2</v>
      </c>
    </row>
    <row r="32" spans="1:8">
      <c r="A32" s="1755"/>
      <c r="B32" s="1756" t="s">
        <v>642</v>
      </c>
      <c r="C32" s="146" t="s">
        <v>643</v>
      </c>
      <c r="D32" s="147">
        <v>1</v>
      </c>
      <c r="E32" s="147" t="s">
        <v>594</v>
      </c>
      <c r="F32" s="148">
        <f t="shared" si="1"/>
        <v>1</v>
      </c>
      <c r="G32" s="147" t="s">
        <v>1901</v>
      </c>
      <c r="H32" s="806">
        <v>1</v>
      </c>
    </row>
    <row r="33" spans="1:8">
      <c r="A33" s="1755"/>
      <c r="B33" s="1756"/>
      <c r="C33" s="146" t="s">
        <v>644</v>
      </c>
      <c r="D33" s="147">
        <v>1</v>
      </c>
      <c r="E33" s="147" t="s">
        <v>594</v>
      </c>
      <c r="F33" s="148">
        <f t="shared" si="1"/>
        <v>1</v>
      </c>
      <c r="G33" s="147" t="s">
        <v>1901</v>
      </c>
      <c r="H33" s="806">
        <v>1</v>
      </c>
    </row>
    <row r="34" spans="1:8">
      <c r="A34" s="1755"/>
      <c r="B34" s="1756"/>
      <c r="C34" s="146" t="s">
        <v>645</v>
      </c>
      <c r="D34" s="147">
        <v>1</v>
      </c>
      <c r="E34" s="147" t="s">
        <v>594</v>
      </c>
      <c r="F34" s="148">
        <f t="shared" si="1"/>
        <v>1</v>
      </c>
      <c r="G34" s="147" t="s">
        <v>1901</v>
      </c>
      <c r="H34" s="806">
        <v>1</v>
      </c>
    </row>
    <row r="35" spans="1:8">
      <c r="A35" s="1755"/>
      <c r="B35" s="146" t="s">
        <v>646</v>
      </c>
      <c r="C35" s="146" t="s">
        <v>647</v>
      </c>
      <c r="D35" s="147">
        <v>1</v>
      </c>
      <c r="E35" s="147" t="s">
        <v>594</v>
      </c>
      <c r="F35" s="148">
        <f t="shared" si="1"/>
        <v>1</v>
      </c>
      <c r="G35" s="147" t="s">
        <v>1901</v>
      </c>
      <c r="H35" s="806">
        <v>1</v>
      </c>
    </row>
    <row r="36" spans="1:8">
      <c r="A36" s="1755"/>
      <c r="B36" s="1756" t="s">
        <v>648</v>
      </c>
      <c r="C36" s="146" t="s">
        <v>649</v>
      </c>
      <c r="D36" s="147">
        <v>1</v>
      </c>
      <c r="E36" s="147" t="s">
        <v>594</v>
      </c>
      <c r="F36" s="148">
        <f t="shared" si="1"/>
        <v>1</v>
      </c>
      <c r="G36" s="147" t="s">
        <v>1901</v>
      </c>
      <c r="H36" s="806">
        <v>1</v>
      </c>
    </row>
    <row r="37" spans="1:8">
      <c r="A37" s="1755"/>
      <c r="B37" s="1756"/>
      <c r="C37" s="146" t="s">
        <v>650</v>
      </c>
      <c r="D37" s="147">
        <v>1</v>
      </c>
      <c r="E37" s="147" t="s">
        <v>594</v>
      </c>
      <c r="F37" s="148">
        <f t="shared" si="1"/>
        <v>1</v>
      </c>
      <c r="G37" s="147" t="s">
        <v>1901</v>
      </c>
      <c r="H37" s="806">
        <v>1</v>
      </c>
    </row>
    <row r="38" spans="1:8" ht="27" customHeight="1">
      <c r="A38" s="1755"/>
      <c r="B38" s="146" t="s">
        <v>651</v>
      </c>
      <c r="C38" s="146" t="s">
        <v>652</v>
      </c>
      <c r="D38" s="147">
        <v>2</v>
      </c>
      <c r="E38" s="147" t="s">
        <v>614</v>
      </c>
      <c r="F38" s="148"/>
      <c r="G38" s="147" t="s">
        <v>1902</v>
      </c>
      <c r="H38" s="806"/>
    </row>
    <row r="39" spans="1:8">
      <c r="A39" s="1755"/>
      <c r="B39" s="1756" t="s">
        <v>653</v>
      </c>
      <c r="C39" s="146" t="s">
        <v>654</v>
      </c>
      <c r="D39" s="147">
        <v>1</v>
      </c>
      <c r="E39" s="147" t="s">
        <v>614</v>
      </c>
      <c r="F39" s="148"/>
      <c r="G39" s="147" t="s">
        <v>1902</v>
      </c>
      <c r="H39" s="806"/>
    </row>
    <row r="40" spans="1:8">
      <c r="A40" s="1755"/>
      <c r="B40" s="1756"/>
      <c r="C40" s="146" t="s">
        <v>655</v>
      </c>
      <c r="D40" s="147">
        <v>1</v>
      </c>
      <c r="E40" s="147" t="s">
        <v>614</v>
      </c>
      <c r="F40" s="148"/>
      <c r="G40" s="147" t="s">
        <v>1902</v>
      </c>
      <c r="H40" s="806"/>
    </row>
    <row r="41" spans="1:8">
      <c r="A41" s="1755"/>
      <c r="B41" s="1756"/>
      <c r="C41" s="146" t="s">
        <v>656</v>
      </c>
      <c r="D41" s="147">
        <v>1</v>
      </c>
      <c r="E41" s="147" t="s">
        <v>614</v>
      </c>
      <c r="F41" s="148"/>
      <c r="G41" s="147" t="s">
        <v>1902</v>
      </c>
      <c r="H41" s="806"/>
    </row>
    <row r="42" spans="1:8">
      <c r="A42" s="1755"/>
      <c r="B42" s="1756"/>
      <c r="C42" s="151" t="s">
        <v>657</v>
      </c>
      <c r="D42" s="147">
        <v>1</v>
      </c>
      <c r="E42" s="147" t="s">
        <v>614</v>
      </c>
      <c r="F42" s="148"/>
      <c r="G42" s="147" t="s">
        <v>1902</v>
      </c>
      <c r="H42" s="806"/>
    </row>
    <row r="43" spans="1:8">
      <c r="A43" s="1755"/>
      <c r="B43" s="1756" t="s">
        <v>658</v>
      </c>
      <c r="C43" s="146" t="s">
        <v>659</v>
      </c>
      <c r="D43" s="147">
        <v>1</v>
      </c>
      <c r="E43" s="147" t="s">
        <v>594</v>
      </c>
      <c r="F43" s="148">
        <f>D43</f>
        <v>1</v>
      </c>
      <c r="G43" s="147" t="s">
        <v>1901</v>
      </c>
      <c r="H43" s="806">
        <v>1</v>
      </c>
    </row>
    <row r="44" spans="1:8" ht="27" customHeight="1">
      <c r="A44" s="1755"/>
      <c r="B44" s="1756"/>
      <c r="C44" s="146" t="s">
        <v>660</v>
      </c>
      <c r="D44" s="147">
        <v>1</v>
      </c>
      <c r="E44" s="147" t="s">
        <v>594</v>
      </c>
      <c r="F44" s="148">
        <f t="shared" ref="F44:F65" si="2">D44</f>
        <v>1</v>
      </c>
      <c r="G44" s="147" t="s">
        <v>1901</v>
      </c>
      <c r="H44" s="806">
        <v>1</v>
      </c>
    </row>
    <row r="45" spans="1:8">
      <c r="A45" s="1755"/>
      <c r="B45" s="1756"/>
      <c r="C45" s="146" t="s">
        <v>661</v>
      </c>
      <c r="D45" s="147">
        <v>1</v>
      </c>
      <c r="E45" s="147" t="s">
        <v>594</v>
      </c>
      <c r="F45" s="148">
        <f t="shared" si="2"/>
        <v>1</v>
      </c>
      <c r="G45" s="147" t="s">
        <v>1901</v>
      </c>
      <c r="H45" s="806">
        <v>1</v>
      </c>
    </row>
    <row r="46" spans="1:8">
      <c r="A46" s="1755"/>
      <c r="B46" s="1756"/>
      <c r="C46" s="146" t="s">
        <v>662</v>
      </c>
      <c r="D46" s="147">
        <v>1</v>
      </c>
      <c r="E46" s="147" t="s">
        <v>594</v>
      </c>
      <c r="F46" s="148">
        <f t="shared" si="2"/>
        <v>1</v>
      </c>
      <c r="G46" s="147" t="s">
        <v>1901</v>
      </c>
      <c r="H46" s="806">
        <v>1</v>
      </c>
    </row>
    <row r="47" spans="1:8">
      <c r="A47" s="1755"/>
      <c r="B47" s="1756"/>
      <c r="C47" s="146" t="s">
        <v>663</v>
      </c>
      <c r="D47" s="147">
        <v>1</v>
      </c>
      <c r="E47" s="147" t="s">
        <v>594</v>
      </c>
      <c r="F47" s="148">
        <f t="shared" si="2"/>
        <v>1</v>
      </c>
      <c r="G47" s="147" t="s">
        <v>1901</v>
      </c>
      <c r="H47" s="806">
        <v>1</v>
      </c>
    </row>
    <row r="48" spans="1:8">
      <c r="A48" s="1755"/>
      <c r="B48" s="1756" t="s">
        <v>664</v>
      </c>
      <c r="C48" s="146" t="s">
        <v>665</v>
      </c>
      <c r="D48" s="147">
        <v>1</v>
      </c>
      <c r="E48" s="147" t="s">
        <v>594</v>
      </c>
      <c r="F48" s="148">
        <f t="shared" si="2"/>
        <v>1</v>
      </c>
      <c r="G48" s="147" t="s">
        <v>1901</v>
      </c>
      <c r="H48" s="806">
        <v>1</v>
      </c>
    </row>
    <row r="49" spans="1:8">
      <c r="A49" s="1755"/>
      <c r="B49" s="1756"/>
      <c r="C49" s="146" t="s">
        <v>666</v>
      </c>
      <c r="D49" s="147">
        <v>1</v>
      </c>
      <c r="E49" s="147" t="s">
        <v>594</v>
      </c>
      <c r="F49" s="148">
        <f t="shared" si="2"/>
        <v>1</v>
      </c>
      <c r="G49" s="147" t="s">
        <v>1901</v>
      </c>
      <c r="H49" s="806">
        <v>1</v>
      </c>
    </row>
    <row r="50" spans="1:8" ht="27">
      <c r="A50" s="1755"/>
      <c r="B50" s="1756"/>
      <c r="C50" s="146" t="s">
        <v>667</v>
      </c>
      <c r="D50" s="147">
        <v>1</v>
      </c>
      <c r="E50" s="147" t="s">
        <v>594</v>
      </c>
      <c r="F50" s="148">
        <f t="shared" si="2"/>
        <v>1</v>
      </c>
      <c r="G50" s="147" t="s">
        <v>1901</v>
      </c>
      <c r="H50" s="806">
        <v>1</v>
      </c>
    </row>
    <row r="51" spans="1:8">
      <c r="A51" s="1755" t="s">
        <v>632</v>
      </c>
      <c r="B51" s="146" t="s">
        <v>664</v>
      </c>
      <c r="C51" s="146" t="s">
        <v>668</v>
      </c>
      <c r="D51" s="147">
        <v>1</v>
      </c>
      <c r="E51" s="147" t="s">
        <v>594</v>
      </c>
      <c r="F51" s="148">
        <f t="shared" si="2"/>
        <v>1</v>
      </c>
      <c r="G51" s="147" t="s">
        <v>1901</v>
      </c>
      <c r="H51" s="806">
        <v>1</v>
      </c>
    </row>
    <row r="52" spans="1:8">
      <c r="A52" s="1755"/>
      <c r="B52" s="1756" t="s">
        <v>669</v>
      </c>
      <c r="C52" s="146" t="s">
        <v>670</v>
      </c>
      <c r="D52" s="147">
        <v>1</v>
      </c>
      <c r="E52" s="147" t="s">
        <v>594</v>
      </c>
      <c r="F52" s="148">
        <f t="shared" si="2"/>
        <v>1</v>
      </c>
      <c r="G52" s="147" t="s">
        <v>1901</v>
      </c>
      <c r="H52" s="806">
        <v>1</v>
      </c>
    </row>
    <row r="53" spans="1:8">
      <c r="A53" s="1755"/>
      <c r="B53" s="1756"/>
      <c r="C53" s="146" t="s">
        <v>671</v>
      </c>
      <c r="D53" s="147">
        <v>2</v>
      </c>
      <c r="E53" s="147" t="s">
        <v>594</v>
      </c>
      <c r="F53" s="148">
        <f t="shared" si="2"/>
        <v>2</v>
      </c>
      <c r="G53" s="147" t="s">
        <v>1901</v>
      </c>
      <c r="H53" s="806">
        <v>2</v>
      </c>
    </row>
    <row r="54" spans="1:8">
      <c r="A54" s="1755"/>
      <c r="B54" s="1756"/>
      <c r="C54" s="146" t="s">
        <v>672</v>
      </c>
      <c r="D54" s="147">
        <v>2</v>
      </c>
      <c r="E54" s="147" t="s">
        <v>594</v>
      </c>
      <c r="F54" s="148">
        <f t="shared" si="2"/>
        <v>2</v>
      </c>
      <c r="G54" s="147" t="s">
        <v>1901</v>
      </c>
      <c r="H54" s="806">
        <v>2</v>
      </c>
    </row>
    <row r="55" spans="1:8">
      <c r="A55" s="1755"/>
      <c r="B55" s="1756"/>
      <c r="C55" s="146" t="s">
        <v>673</v>
      </c>
      <c r="D55" s="147">
        <v>2</v>
      </c>
      <c r="E55" s="147" t="s">
        <v>594</v>
      </c>
      <c r="F55" s="148">
        <f t="shared" si="2"/>
        <v>2</v>
      </c>
      <c r="G55" s="147" t="s">
        <v>1901</v>
      </c>
      <c r="H55" s="806">
        <v>2</v>
      </c>
    </row>
    <row r="56" spans="1:8">
      <c r="A56" s="1755"/>
      <c r="B56" s="1756"/>
      <c r="C56" s="146" t="s">
        <v>674</v>
      </c>
      <c r="D56" s="147">
        <v>2</v>
      </c>
      <c r="E56" s="147" t="s">
        <v>594</v>
      </c>
      <c r="F56" s="148">
        <f t="shared" si="2"/>
        <v>2</v>
      </c>
      <c r="G56" s="147" t="s">
        <v>1901</v>
      </c>
      <c r="H56" s="806">
        <v>2</v>
      </c>
    </row>
    <row r="57" spans="1:8">
      <c r="A57" s="1755"/>
      <c r="B57" s="1756" t="s">
        <v>675</v>
      </c>
      <c r="C57" s="152" t="s">
        <v>676</v>
      </c>
      <c r="D57" s="147">
        <v>1</v>
      </c>
      <c r="E57" s="147" t="s">
        <v>594</v>
      </c>
      <c r="F57" s="148">
        <f t="shared" si="2"/>
        <v>1</v>
      </c>
      <c r="G57" s="147" t="s">
        <v>1901</v>
      </c>
      <c r="H57" s="806">
        <v>1</v>
      </c>
    </row>
    <row r="58" spans="1:8">
      <c r="A58" s="1755"/>
      <c r="B58" s="1756"/>
      <c r="C58" s="152" t="s">
        <v>677</v>
      </c>
      <c r="D58" s="147">
        <v>1</v>
      </c>
      <c r="E58" s="147" t="s">
        <v>594</v>
      </c>
      <c r="F58" s="148">
        <f t="shared" si="2"/>
        <v>1</v>
      </c>
      <c r="G58" s="147" t="s">
        <v>1901</v>
      </c>
      <c r="H58" s="806">
        <v>1</v>
      </c>
    </row>
    <row r="59" spans="1:8" ht="27">
      <c r="A59" s="1755"/>
      <c r="B59" s="1756"/>
      <c r="C59" s="152" t="s">
        <v>678</v>
      </c>
      <c r="D59" s="147">
        <v>1</v>
      </c>
      <c r="E59" s="147" t="s">
        <v>594</v>
      </c>
      <c r="F59" s="148">
        <f t="shared" si="2"/>
        <v>1</v>
      </c>
      <c r="G59" s="147" t="s">
        <v>1901</v>
      </c>
      <c r="H59" s="806">
        <v>1</v>
      </c>
    </row>
    <row r="60" spans="1:8">
      <c r="A60" s="1755" t="s">
        <v>679</v>
      </c>
      <c r="B60" s="146" t="s">
        <v>680</v>
      </c>
      <c r="C60" s="146" t="s">
        <v>681</v>
      </c>
      <c r="D60" s="147">
        <v>1</v>
      </c>
      <c r="E60" s="147" t="s">
        <v>594</v>
      </c>
      <c r="F60" s="148">
        <f t="shared" si="2"/>
        <v>1</v>
      </c>
      <c r="G60" s="147" t="s">
        <v>1901</v>
      </c>
      <c r="H60" s="806">
        <v>1</v>
      </c>
    </row>
    <row r="61" spans="1:8">
      <c r="A61" s="1755"/>
      <c r="B61" s="1756" t="s">
        <v>682</v>
      </c>
      <c r="C61" s="146" t="s">
        <v>683</v>
      </c>
      <c r="D61" s="147">
        <v>1</v>
      </c>
      <c r="E61" s="147" t="s">
        <v>594</v>
      </c>
      <c r="F61" s="148">
        <f t="shared" si="2"/>
        <v>1</v>
      </c>
      <c r="G61" s="147" t="s">
        <v>1901</v>
      </c>
      <c r="H61" s="806">
        <v>1</v>
      </c>
    </row>
    <row r="62" spans="1:8">
      <c r="A62" s="1755"/>
      <c r="B62" s="1756"/>
      <c r="C62" s="146" t="s">
        <v>684</v>
      </c>
      <c r="D62" s="147">
        <v>1</v>
      </c>
      <c r="E62" s="147" t="s">
        <v>594</v>
      </c>
      <c r="F62" s="148">
        <f t="shared" si="2"/>
        <v>1</v>
      </c>
      <c r="G62" s="147" t="s">
        <v>1901</v>
      </c>
      <c r="H62" s="806">
        <v>1</v>
      </c>
    </row>
    <row r="63" spans="1:8" ht="27">
      <c r="A63" s="1755"/>
      <c r="B63" s="146" t="s">
        <v>685</v>
      </c>
      <c r="C63" s="146" t="s">
        <v>686</v>
      </c>
      <c r="D63" s="147">
        <v>1</v>
      </c>
      <c r="E63" s="147" t="s">
        <v>594</v>
      </c>
      <c r="F63" s="148">
        <f t="shared" si="2"/>
        <v>1</v>
      </c>
      <c r="G63" s="147" t="s">
        <v>1901</v>
      </c>
      <c r="H63" s="806">
        <v>1</v>
      </c>
    </row>
    <row r="64" spans="1:8">
      <c r="A64" s="1755"/>
      <c r="B64" s="1756" t="s">
        <v>687</v>
      </c>
      <c r="C64" s="146" t="s">
        <v>688</v>
      </c>
      <c r="D64" s="147">
        <v>1</v>
      </c>
      <c r="E64" s="147" t="s">
        <v>594</v>
      </c>
      <c r="F64" s="148">
        <f t="shared" si="2"/>
        <v>1</v>
      </c>
      <c r="G64" s="147" t="s">
        <v>1901</v>
      </c>
      <c r="H64" s="806">
        <v>1</v>
      </c>
    </row>
    <row r="65" spans="1:8">
      <c r="A65" s="1755"/>
      <c r="B65" s="1756"/>
      <c r="C65" s="146" t="s">
        <v>689</v>
      </c>
      <c r="D65" s="147">
        <v>1</v>
      </c>
      <c r="E65" s="147" t="s">
        <v>594</v>
      </c>
      <c r="F65" s="148">
        <f t="shared" si="2"/>
        <v>1</v>
      </c>
      <c r="G65" s="147" t="s">
        <v>1901</v>
      </c>
      <c r="H65" s="806">
        <v>1</v>
      </c>
    </row>
    <row r="66" spans="1:8">
      <c r="A66" s="1755"/>
      <c r="B66" s="809" t="s">
        <v>690</v>
      </c>
      <c r="C66" s="146" t="s">
        <v>691</v>
      </c>
      <c r="D66" s="147">
        <v>1</v>
      </c>
      <c r="E66" s="149" t="s">
        <v>620</v>
      </c>
      <c r="F66" s="150">
        <v>0</v>
      </c>
      <c r="G66" s="805" t="s">
        <v>1903</v>
      </c>
      <c r="H66" s="808">
        <v>0</v>
      </c>
    </row>
    <row r="67" spans="1:8">
      <c r="A67" s="1755"/>
      <c r="B67" s="146" t="s">
        <v>692</v>
      </c>
      <c r="C67" s="146" t="s">
        <v>693</v>
      </c>
      <c r="D67" s="147">
        <v>1</v>
      </c>
      <c r="E67" s="147" t="s">
        <v>594</v>
      </c>
      <c r="F67" s="148">
        <f>D67</f>
        <v>1</v>
      </c>
      <c r="G67" s="147" t="s">
        <v>1901</v>
      </c>
      <c r="H67" s="806">
        <v>1</v>
      </c>
    </row>
    <row r="68" spans="1:8">
      <c r="A68" s="1755" t="s">
        <v>694</v>
      </c>
      <c r="B68" s="1756" t="s">
        <v>695</v>
      </c>
      <c r="C68" s="146" t="s">
        <v>696</v>
      </c>
      <c r="D68" s="147">
        <v>2</v>
      </c>
      <c r="E68" s="147" t="s">
        <v>614</v>
      </c>
      <c r="F68" s="148"/>
      <c r="G68" s="147" t="s">
        <v>1902</v>
      </c>
      <c r="H68" s="806"/>
    </row>
    <row r="69" spans="1:8">
      <c r="A69" s="1755"/>
      <c r="B69" s="1756"/>
      <c r="C69" s="146" t="s">
        <v>697</v>
      </c>
      <c r="D69" s="147">
        <v>2</v>
      </c>
      <c r="E69" s="147" t="s">
        <v>614</v>
      </c>
      <c r="F69" s="148"/>
      <c r="G69" s="147" t="s">
        <v>1902</v>
      </c>
      <c r="H69" s="806"/>
    </row>
    <row r="70" spans="1:8">
      <c r="A70" s="1755"/>
      <c r="B70" s="146" t="s">
        <v>698</v>
      </c>
      <c r="C70" s="146" t="s">
        <v>699</v>
      </c>
      <c r="D70" s="147">
        <v>1</v>
      </c>
      <c r="E70" s="147" t="s">
        <v>594</v>
      </c>
      <c r="F70" s="148">
        <f>D70</f>
        <v>1</v>
      </c>
      <c r="G70" s="147" t="s">
        <v>1901</v>
      </c>
      <c r="H70" s="806">
        <v>1</v>
      </c>
    </row>
    <row r="71" spans="1:8">
      <c r="A71" s="1755"/>
      <c r="B71" s="1756" t="s">
        <v>700</v>
      </c>
      <c r="C71" s="146" t="s">
        <v>701</v>
      </c>
      <c r="D71" s="147">
        <v>1</v>
      </c>
      <c r="E71" s="147" t="s">
        <v>594</v>
      </c>
      <c r="F71" s="148">
        <f t="shared" ref="F71:F80" si="3">D71</f>
        <v>1</v>
      </c>
      <c r="G71" s="147" t="s">
        <v>1901</v>
      </c>
      <c r="H71" s="806">
        <v>1</v>
      </c>
    </row>
    <row r="72" spans="1:8">
      <c r="A72" s="1755"/>
      <c r="B72" s="1756"/>
      <c r="C72" s="146" t="s">
        <v>702</v>
      </c>
      <c r="D72" s="147">
        <v>1</v>
      </c>
      <c r="E72" s="147" t="s">
        <v>594</v>
      </c>
      <c r="F72" s="148">
        <f t="shared" si="3"/>
        <v>1</v>
      </c>
      <c r="G72" s="147" t="s">
        <v>1901</v>
      </c>
      <c r="H72" s="806">
        <v>1</v>
      </c>
    </row>
    <row r="73" spans="1:8">
      <c r="A73" s="1755"/>
      <c r="B73" s="146" t="s">
        <v>703</v>
      </c>
      <c r="C73" s="146" t="s">
        <v>704</v>
      </c>
      <c r="D73" s="147">
        <v>1</v>
      </c>
      <c r="E73" s="147" t="s">
        <v>594</v>
      </c>
      <c r="F73" s="148">
        <f t="shared" si="3"/>
        <v>1</v>
      </c>
      <c r="G73" s="147" t="s">
        <v>1901</v>
      </c>
      <c r="H73" s="806">
        <v>1</v>
      </c>
    </row>
    <row r="74" spans="1:8">
      <c r="A74" s="1755"/>
      <c r="B74" s="1756" t="s">
        <v>705</v>
      </c>
      <c r="C74" s="146" t="s">
        <v>706</v>
      </c>
      <c r="D74" s="147">
        <v>2</v>
      </c>
      <c r="E74" s="147" t="s">
        <v>594</v>
      </c>
      <c r="F74" s="148">
        <f t="shared" si="3"/>
        <v>2</v>
      </c>
      <c r="G74" s="147" t="s">
        <v>1901</v>
      </c>
      <c r="H74" s="806">
        <v>2</v>
      </c>
    </row>
    <row r="75" spans="1:8">
      <c r="A75" s="1755"/>
      <c r="B75" s="1756"/>
      <c r="C75" s="146" t="s">
        <v>707</v>
      </c>
      <c r="D75" s="147">
        <v>2</v>
      </c>
      <c r="E75" s="147" t="s">
        <v>594</v>
      </c>
      <c r="F75" s="148">
        <f t="shared" si="3"/>
        <v>2</v>
      </c>
      <c r="G75" s="147" t="s">
        <v>1901</v>
      </c>
      <c r="H75" s="806">
        <v>2</v>
      </c>
    </row>
    <row r="76" spans="1:8">
      <c r="A76" s="1755" t="s">
        <v>694</v>
      </c>
      <c r="B76" s="146" t="s">
        <v>708</v>
      </c>
      <c r="C76" s="146" t="s">
        <v>709</v>
      </c>
      <c r="D76" s="147">
        <v>1</v>
      </c>
      <c r="E76" s="147" t="s">
        <v>594</v>
      </c>
      <c r="F76" s="148">
        <f t="shared" si="3"/>
        <v>1</v>
      </c>
      <c r="G76" s="147" t="s">
        <v>1901</v>
      </c>
      <c r="H76" s="806">
        <v>1</v>
      </c>
    </row>
    <row r="77" spans="1:8">
      <c r="A77" s="1755"/>
      <c r="B77" s="146" t="s">
        <v>710</v>
      </c>
      <c r="C77" s="146" t="s">
        <v>711</v>
      </c>
      <c r="D77" s="147">
        <v>1</v>
      </c>
      <c r="E77" s="147" t="s">
        <v>594</v>
      </c>
      <c r="F77" s="148">
        <f t="shared" si="3"/>
        <v>1</v>
      </c>
      <c r="G77" s="147" t="s">
        <v>1901</v>
      </c>
      <c r="H77" s="806">
        <v>1</v>
      </c>
    </row>
    <row r="78" spans="1:8">
      <c r="A78" s="1755"/>
      <c r="B78" s="146" t="s">
        <v>712</v>
      </c>
      <c r="C78" s="146" t="s">
        <v>713</v>
      </c>
      <c r="D78" s="147">
        <v>1</v>
      </c>
      <c r="E78" s="147" t="s">
        <v>594</v>
      </c>
      <c r="F78" s="148">
        <f t="shared" si="3"/>
        <v>1</v>
      </c>
      <c r="G78" s="147" t="s">
        <v>1901</v>
      </c>
      <c r="H78" s="806">
        <v>1</v>
      </c>
    </row>
    <row r="79" spans="1:8">
      <c r="A79" s="1755"/>
      <c r="B79" s="1756" t="s">
        <v>714</v>
      </c>
      <c r="C79" s="146" t="s">
        <v>715</v>
      </c>
      <c r="D79" s="147">
        <v>2</v>
      </c>
      <c r="E79" s="147" t="s">
        <v>594</v>
      </c>
      <c r="F79" s="148">
        <f t="shared" si="3"/>
        <v>2</v>
      </c>
      <c r="G79" s="147" t="s">
        <v>1901</v>
      </c>
      <c r="H79" s="806">
        <v>2</v>
      </c>
    </row>
    <row r="80" spans="1:8">
      <c r="A80" s="1755"/>
      <c r="B80" s="1756"/>
      <c r="C80" s="146" t="s">
        <v>716</v>
      </c>
      <c r="D80" s="147">
        <v>2</v>
      </c>
      <c r="E80" s="147" t="s">
        <v>594</v>
      </c>
      <c r="F80" s="148">
        <f t="shared" si="3"/>
        <v>2</v>
      </c>
      <c r="G80" s="147" t="s">
        <v>1901</v>
      </c>
      <c r="H80" s="806">
        <v>2</v>
      </c>
    </row>
    <row r="81" spans="1:8">
      <c r="A81" s="1757" t="s">
        <v>717</v>
      </c>
      <c r="B81" s="1757"/>
      <c r="C81" s="1757"/>
      <c r="D81" s="147">
        <f>SUM(D4:D80)</f>
        <v>100</v>
      </c>
      <c r="E81" s="147"/>
      <c r="F81" s="153">
        <f>SUM(F4:F80)</f>
        <v>87</v>
      </c>
      <c r="G81" s="147"/>
      <c r="H81" s="153">
        <v>88</v>
      </c>
    </row>
    <row r="82" spans="1:8">
      <c r="A82" s="813"/>
      <c r="B82" s="859" t="s">
        <v>1958</v>
      </c>
      <c r="C82" s="813"/>
      <c r="D82" s="147"/>
      <c r="E82" s="147"/>
      <c r="F82" s="153">
        <f>F81*100%</f>
        <v>87</v>
      </c>
      <c r="G82" s="858"/>
      <c r="H82" s="153">
        <f>H81*100%</f>
        <v>88</v>
      </c>
    </row>
    <row r="83" spans="1:8">
      <c r="A83" s="813"/>
      <c r="B83" s="859" t="s">
        <v>1959</v>
      </c>
      <c r="C83" s="813"/>
      <c r="D83" s="147"/>
      <c r="E83" s="147"/>
      <c r="F83" s="153">
        <f>F82/9</f>
        <v>9.6666666666666661</v>
      </c>
      <c r="G83" s="858"/>
      <c r="H83" s="153">
        <f>H82/9</f>
        <v>9.7777777777777786</v>
      </c>
    </row>
    <row r="84" spans="1:8">
      <c r="A84" s="813"/>
      <c r="B84" s="859" t="s">
        <v>1957</v>
      </c>
      <c r="C84" s="813"/>
      <c r="D84" s="147"/>
      <c r="E84" s="147"/>
      <c r="F84" s="153">
        <f>F83/2</f>
        <v>4.833333333333333</v>
      </c>
      <c r="G84" s="858"/>
      <c r="H84" s="153">
        <f>H83/2</f>
        <v>4.8888888888888893</v>
      </c>
    </row>
    <row r="85" spans="1:8">
      <c r="A85" s="1758" t="s">
        <v>718</v>
      </c>
      <c r="B85" s="1758"/>
      <c r="C85" s="1758"/>
      <c r="D85" s="1758"/>
      <c r="E85" s="1758"/>
      <c r="F85" s="1758"/>
      <c r="G85" s="799"/>
    </row>
    <row r="86" spans="1:8">
      <c r="A86" s="1753" t="s">
        <v>719</v>
      </c>
      <c r="B86" s="1753"/>
      <c r="C86" s="1753"/>
      <c r="D86" s="1753"/>
      <c r="E86" s="1753"/>
      <c r="F86" s="1753"/>
      <c r="G86" s="800"/>
    </row>
    <row r="87" spans="1:8">
      <c r="A87" s="1753" t="s">
        <v>720</v>
      </c>
      <c r="B87" s="1753"/>
      <c r="C87" s="1753"/>
      <c r="D87" s="1753"/>
      <c r="E87" s="1753"/>
      <c r="F87" s="1753"/>
      <c r="G87" s="800"/>
    </row>
    <row r="88" spans="1:8">
      <c r="A88" s="1753" t="s">
        <v>721</v>
      </c>
      <c r="B88" s="1753"/>
      <c r="C88" s="1753"/>
      <c r="D88" s="1753"/>
      <c r="E88" s="1753"/>
      <c r="F88" s="1753"/>
      <c r="G88" s="800"/>
    </row>
    <row r="89" spans="1:8">
      <c r="A89" s="1753" t="s">
        <v>722</v>
      </c>
      <c r="B89" s="1753"/>
      <c r="C89" s="1753"/>
      <c r="D89" s="1753"/>
      <c r="E89" s="1753"/>
      <c r="F89" s="1753"/>
      <c r="G89" s="800"/>
    </row>
    <row r="90" spans="1:8">
      <c r="A90" s="1753" t="s">
        <v>723</v>
      </c>
      <c r="B90" s="1753"/>
      <c r="C90" s="1753"/>
      <c r="D90" s="1753"/>
      <c r="E90" s="1753"/>
      <c r="F90" s="1753"/>
      <c r="G90" s="800"/>
    </row>
    <row r="91" spans="1:8">
      <c r="A91" s="1753" t="s">
        <v>724</v>
      </c>
      <c r="B91" s="1753"/>
      <c r="C91" s="1753"/>
      <c r="D91" s="1753"/>
      <c r="E91" s="1753"/>
      <c r="F91" s="1753"/>
      <c r="G91" s="800"/>
    </row>
    <row r="92" spans="1:8">
      <c r="A92" s="1753" t="s">
        <v>725</v>
      </c>
      <c r="B92" s="1753"/>
      <c r="C92" s="1753"/>
      <c r="D92" s="1753"/>
      <c r="E92" s="1753"/>
      <c r="F92" s="1753"/>
      <c r="G92" s="800"/>
    </row>
    <row r="93" spans="1:8">
      <c r="A93" s="1753" t="s">
        <v>726</v>
      </c>
      <c r="B93" s="1753"/>
      <c r="C93" s="1753"/>
      <c r="D93" s="1753"/>
      <c r="E93" s="1753"/>
      <c r="F93" s="1753"/>
      <c r="G93" s="800"/>
    </row>
    <row r="94" spans="1:8">
      <c r="A94" s="1754" t="s">
        <v>727</v>
      </c>
      <c r="B94" s="1754"/>
      <c r="C94" s="1754"/>
      <c r="D94" s="1754"/>
      <c r="E94" s="1754"/>
      <c r="F94" s="1754"/>
      <c r="G94" s="801"/>
    </row>
    <row r="95" spans="1:8">
      <c r="A95" s="1754" t="s">
        <v>728</v>
      </c>
      <c r="B95" s="1754"/>
      <c r="C95" s="1754"/>
      <c r="D95" s="1754"/>
      <c r="E95" s="1754"/>
      <c r="F95" s="1754"/>
      <c r="G95" s="801"/>
    </row>
    <row r="96" spans="1:8">
      <c r="A96" s="1752" t="s">
        <v>729</v>
      </c>
      <c r="B96" s="1752"/>
      <c r="C96" s="1752"/>
      <c r="D96" s="1752"/>
      <c r="E96" s="1752"/>
      <c r="F96" s="1752"/>
      <c r="G96" s="802"/>
    </row>
    <row r="101" spans="1:1">
      <c r="A101" s="860" t="s">
        <v>1960</v>
      </c>
    </row>
    <row r="102" spans="1:1">
      <c r="A102" s="893" t="s">
        <v>2008</v>
      </c>
    </row>
  </sheetData>
  <mergeCells count="46">
    <mergeCell ref="G2:H2"/>
    <mergeCell ref="E2:F2"/>
    <mergeCell ref="A4:A10"/>
    <mergeCell ref="B5:B6"/>
    <mergeCell ref="B7:B8"/>
    <mergeCell ref="A11:A20"/>
    <mergeCell ref="B11:B12"/>
    <mergeCell ref="B13:B14"/>
    <mergeCell ref="B16:B17"/>
    <mergeCell ref="B19:B20"/>
    <mergeCell ref="A21:A25"/>
    <mergeCell ref="B21:B22"/>
    <mergeCell ref="B23:B25"/>
    <mergeCell ref="A26:A50"/>
    <mergeCell ref="B26:B28"/>
    <mergeCell ref="B29:B30"/>
    <mergeCell ref="B32:B34"/>
    <mergeCell ref="B36:B37"/>
    <mergeCell ref="B39:B42"/>
    <mergeCell ref="B43:B47"/>
    <mergeCell ref="B48:B50"/>
    <mergeCell ref="A51:A59"/>
    <mergeCell ref="B52:B56"/>
    <mergeCell ref="B57:B59"/>
    <mergeCell ref="A60:A67"/>
    <mergeCell ref="B61:B62"/>
    <mergeCell ref="B64:B65"/>
    <mergeCell ref="A89:F89"/>
    <mergeCell ref="A68:A75"/>
    <mergeCell ref="B68:B69"/>
    <mergeCell ref="B71:B72"/>
    <mergeCell ref="B74:B75"/>
    <mergeCell ref="A76:A80"/>
    <mergeCell ref="B79:B80"/>
    <mergeCell ref="A81:C81"/>
    <mergeCell ref="A85:F85"/>
    <mergeCell ref="A86:F86"/>
    <mergeCell ref="A87:F87"/>
    <mergeCell ref="A88:F88"/>
    <mergeCell ref="A96:F96"/>
    <mergeCell ref="A90:F90"/>
    <mergeCell ref="A91:F91"/>
    <mergeCell ref="A92:F92"/>
    <mergeCell ref="A93:F93"/>
    <mergeCell ref="A94:F94"/>
    <mergeCell ref="A95:F95"/>
  </mergeCells>
  <phoneticPr fontId="3" type="noConversion"/>
  <hyperlinks>
    <hyperlink ref="A101" location="权重!A1" display="权重!A1"/>
    <hyperlink ref="A102" location="目录!A1" display="目录!A1"/>
  </hyperlinks>
  <pageMargins left="0.7" right="0.7" top="0.75" bottom="0.75" header="0.3" footer="0.3"/>
  <pageSetup paperSize="9" orientation="portrait" r:id="rId1"/>
  <legacyDrawing r:id="rId2"/>
</worksheet>
</file>

<file path=xl/worksheets/sheet29.xml><?xml version="1.0" encoding="utf-8"?>
<worksheet xmlns="http://schemas.openxmlformats.org/spreadsheetml/2006/main" xmlns:r="http://schemas.openxmlformats.org/officeDocument/2006/relationships">
  <sheetPr>
    <tabColor theme="5" tint="0.39997558519241921"/>
  </sheetPr>
  <dimension ref="A1:G42"/>
  <sheetViews>
    <sheetView workbookViewId="0">
      <pane xSplit="1" ySplit="2" topLeftCell="B3" activePane="bottomRight" state="frozen"/>
      <selection activeCell="A3" sqref="A3:B3"/>
      <selection pane="topRight" activeCell="A3" sqref="A3:B3"/>
      <selection pane="bottomLeft" activeCell="A3" sqref="A3:B3"/>
      <selection pane="bottomRight" activeCell="A41" sqref="A41"/>
    </sheetView>
  </sheetViews>
  <sheetFormatPr defaultColWidth="8.875" defaultRowHeight="13.5"/>
  <cols>
    <col min="1" max="1" width="12.875" bestFit="1" customWidth="1"/>
    <col min="2" max="2" width="9.75" bestFit="1" customWidth="1"/>
    <col min="3" max="3" width="28" style="206" bestFit="1" customWidth="1"/>
    <col min="4" max="4" width="9.875" customWidth="1"/>
    <col min="5" max="5" width="8.875" style="32" customWidth="1"/>
    <col min="6" max="6" width="9.375" customWidth="1"/>
  </cols>
  <sheetData>
    <row r="1" spans="1:7" ht="30" customHeight="1">
      <c r="A1" s="1761" t="s">
        <v>1055</v>
      </c>
      <c r="B1" s="1761"/>
      <c r="C1" s="1761"/>
      <c r="D1" s="1761"/>
      <c r="E1" s="1761"/>
      <c r="F1" s="220"/>
      <c r="G1" s="220"/>
    </row>
    <row r="2" spans="1:7" s="204" customFormat="1" ht="30" customHeight="1">
      <c r="A2" s="203" t="s">
        <v>500</v>
      </c>
      <c r="B2" s="203" t="s">
        <v>1056</v>
      </c>
      <c r="C2" s="203" t="s">
        <v>1057</v>
      </c>
      <c r="D2" s="203" t="s">
        <v>501</v>
      </c>
      <c r="E2" s="203" t="s">
        <v>1782</v>
      </c>
      <c r="F2" s="203" t="s">
        <v>547</v>
      </c>
      <c r="G2" s="203" t="s">
        <v>1705</v>
      </c>
    </row>
    <row r="3" spans="1:7" s="204" customFormat="1" ht="27">
      <c r="A3" s="1730" t="s">
        <v>1058</v>
      </c>
      <c r="B3" s="102" t="s">
        <v>1059</v>
      </c>
      <c r="C3" s="198" t="s">
        <v>1060</v>
      </c>
      <c r="D3" s="102">
        <v>2</v>
      </c>
      <c r="E3" s="221">
        <v>2</v>
      </c>
      <c r="F3" s="252">
        <f>D3-E3</f>
        <v>0</v>
      </c>
      <c r="G3" s="469">
        <v>2</v>
      </c>
    </row>
    <row r="4" spans="1:7" s="204" customFormat="1">
      <c r="A4" s="1731"/>
      <c r="B4" s="102" t="s">
        <v>1061</v>
      </c>
      <c r="C4" s="198" t="s">
        <v>1062</v>
      </c>
      <c r="D4" s="102">
        <v>4</v>
      </c>
      <c r="E4" s="222">
        <v>0</v>
      </c>
      <c r="F4" s="252">
        <f t="shared" ref="F4:F32" si="0">D4-E4</f>
        <v>4</v>
      </c>
      <c r="G4" s="470">
        <v>0</v>
      </c>
    </row>
    <row r="5" spans="1:7" s="204" customFormat="1">
      <c r="A5" s="1760" t="s">
        <v>1063</v>
      </c>
      <c r="B5" s="102" t="s">
        <v>1064</v>
      </c>
      <c r="C5" s="198" t="s">
        <v>1065</v>
      </c>
      <c r="D5" s="102">
        <v>2</v>
      </c>
      <c r="E5" s="221">
        <v>2</v>
      </c>
      <c r="F5" s="252">
        <f t="shared" si="0"/>
        <v>0</v>
      </c>
      <c r="G5" s="469">
        <v>2</v>
      </c>
    </row>
    <row r="6" spans="1:7" s="204" customFormat="1" ht="40.5">
      <c r="A6" s="1760"/>
      <c r="B6" s="102" t="s">
        <v>1066</v>
      </c>
      <c r="C6" s="198" t="s">
        <v>1067</v>
      </c>
      <c r="D6" s="102">
        <v>4</v>
      </c>
      <c r="E6" s="221">
        <v>4</v>
      </c>
      <c r="F6" s="252">
        <f t="shared" si="0"/>
        <v>0</v>
      </c>
      <c r="G6" s="469">
        <v>4</v>
      </c>
    </row>
    <row r="7" spans="1:7" s="204" customFormat="1" ht="27">
      <c r="A7" s="1760"/>
      <c r="B7" s="102" t="s">
        <v>1068</v>
      </c>
      <c r="C7" s="198" t="s">
        <v>1069</v>
      </c>
      <c r="D7" s="102">
        <v>2</v>
      </c>
      <c r="E7" s="221">
        <v>2</v>
      </c>
      <c r="F7" s="252">
        <f t="shared" si="0"/>
        <v>0</v>
      </c>
      <c r="G7" s="469">
        <v>2</v>
      </c>
    </row>
    <row r="8" spans="1:7" s="204" customFormat="1" ht="27">
      <c r="A8" s="1760"/>
      <c r="B8" s="102" t="s">
        <v>1070</v>
      </c>
      <c r="C8" s="198" t="s">
        <v>1071</v>
      </c>
      <c r="D8" s="102">
        <v>2</v>
      </c>
      <c r="E8" s="221">
        <v>2</v>
      </c>
      <c r="F8" s="252">
        <f t="shared" si="0"/>
        <v>0</v>
      </c>
      <c r="G8" s="469">
        <v>2</v>
      </c>
    </row>
    <row r="9" spans="1:7" s="204" customFormat="1">
      <c r="A9" s="1760"/>
      <c r="B9" s="93" t="s">
        <v>1072</v>
      </c>
      <c r="C9" s="197"/>
      <c r="D9" s="93">
        <v>2</v>
      </c>
      <c r="E9" s="221">
        <v>2</v>
      </c>
      <c r="F9" s="252">
        <f t="shared" si="0"/>
        <v>0</v>
      </c>
      <c r="G9" s="469">
        <v>2</v>
      </c>
    </row>
    <row r="10" spans="1:7" s="204" customFormat="1">
      <c r="A10" s="1760"/>
      <c r="B10" s="93" t="s">
        <v>1073</v>
      </c>
      <c r="C10" s="197"/>
      <c r="D10" s="93">
        <v>2</v>
      </c>
      <c r="E10" s="221">
        <v>2</v>
      </c>
      <c r="F10" s="252">
        <f t="shared" si="0"/>
        <v>0</v>
      </c>
      <c r="G10" s="469">
        <v>2</v>
      </c>
    </row>
    <row r="11" spans="1:7" s="204" customFormat="1">
      <c r="A11" s="1760"/>
      <c r="B11" s="93" t="s">
        <v>1074</v>
      </c>
      <c r="C11" s="197"/>
      <c r="D11" s="93">
        <v>2</v>
      </c>
      <c r="E11" s="221">
        <v>2</v>
      </c>
      <c r="F11" s="252">
        <f t="shared" si="0"/>
        <v>0</v>
      </c>
      <c r="G11" s="469">
        <v>2</v>
      </c>
    </row>
    <row r="12" spans="1:7" s="204" customFormat="1">
      <c r="A12" s="1760"/>
      <c r="B12" s="93" t="s">
        <v>1075</v>
      </c>
      <c r="C12" s="197"/>
      <c r="D12" s="93">
        <v>2</v>
      </c>
      <c r="E12" s="221">
        <v>2</v>
      </c>
      <c r="F12" s="252">
        <f t="shared" si="0"/>
        <v>0</v>
      </c>
      <c r="G12" s="469">
        <v>2</v>
      </c>
    </row>
    <row r="13" spans="1:7" s="204" customFormat="1">
      <c r="A13" s="1760"/>
      <c r="B13" s="93" t="s">
        <v>1076</v>
      </c>
      <c r="C13" s="197"/>
      <c r="D13" s="93">
        <v>2</v>
      </c>
      <c r="E13" s="221">
        <v>2</v>
      </c>
      <c r="F13" s="252">
        <f t="shared" si="0"/>
        <v>0</v>
      </c>
      <c r="G13" s="469">
        <v>2</v>
      </c>
    </row>
    <row r="14" spans="1:7" s="204" customFormat="1">
      <c r="A14" s="1760" t="s">
        <v>1077</v>
      </c>
      <c r="B14" s="102" t="s">
        <v>1078</v>
      </c>
      <c r="C14" s="198" t="s">
        <v>1079</v>
      </c>
      <c r="D14" s="102">
        <v>1</v>
      </c>
      <c r="E14" s="221">
        <v>1</v>
      </c>
      <c r="F14" s="252">
        <f t="shared" si="0"/>
        <v>0</v>
      </c>
      <c r="G14" s="469">
        <v>1</v>
      </c>
    </row>
    <row r="15" spans="1:7" s="204" customFormat="1">
      <c r="A15" s="1760"/>
      <c r="B15" s="1762" t="s">
        <v>1080</v>
      </c>
      <c r="C15" s="198" t="s">
        <v>1081</v>
      </c>
      <c r="D15" s="102">
        <v>1</v>
      </c>
      <c r="E15" s="221">
        <v>1</v>
      </c>
      <c r="F15" s="252">
        <f t="shared" si="0"/>
        <v>0</v>
      </c>
      <c r="G15" s="469">
        <v>1</v>
      </c>
    </row>
    <row r="16" spans="1:7" s="204" customFormat="1">
      <c r="A16" s="1760"/>
      <c r="B16" s="1762"/>
      <c r="C16" s="198" t="s">
        <v>1082</v>
      </c>
      <c r="D16" s="102">
        <v>2</v>
      </c>
      <c r="E16" s="221">
        <v>2</v>
      </c>
      <c r="F16" s="252">
        <f t="shared" si="0"/>
        <v>0</v>
      </c>
      <c r="G16" s="469">
        <v>2</v>
      </c>
    </row>
    <row r="17" spans="1:7" s="204" customFormat="1">
      <c r="A17" s="1760"/>
      <c r="B17" s="1762"/>
      <c r="C17" s="198" t="s">
        <v>1083</v>
      </c>
      <c r="D17" s="102">
        <v>2</v>
      </c>
      <c r="E17" s="221" t="s">
        <v>1171</v>
      </c>
      <c r="F17" s="252" t="e">
        <f t="shared" si="0"/>
        <v>#VALUE!</v>
      </c>
      <c r="G17" s="469" t="s">
        <v>1791</v>
      </c>
    </row>
    <row r="18" spans="1:7" s="204" customFormat="1">
      <c r="A18" s="102" t="s">
        <v>1084</v>
      </c>
      <c r="B18" s="102" t="s">
        <v>1085</v>
      </c>
      <c r="C18" s="198" t="s">
        <v>1086</v>
      </c>
      <c r="D18" s="102">
        <v>5</v>
      </c>
      <c r="E18" s="221">
        <v>5</v>
      </c>
      <c r="F18" s="252">
        <f t="shared" si="0"/>
        <v>0</v>
      </c>
      <c r="G18" s="469">
        <v>5</v>
      </c>
    </row>
    <row r="19" spans="1:7" s="204" customFormat="1">
      <c r="A19" s="1760" t="s">
        <v>1087</v>
      </c>
      <c r="B19" s="1760" t="s">
        <v>1088</v>
      </c>
      <c r="C19" s="198" t="s">
        <v>1089</v>
      </c>
      <c r="D19" s="102">
        <v>5</v>
      </c>
      <c r="E19" s="221">
        <v>5</v>
      </c>
      <c r="F19" s="252">
        <f t="shared" si="0"/>
        <v>0</v>
      </c>
      <c r="G19" s="469">
        <v>5</v>
      </c>
    </row>
    <row r="20" spans="1:7" s="204" customFormat="1">
      <c r="A20" s="1760"/>
      <c r="B20" s="1760"/>
      <c r="C20" s="198" t="s">
        <v>1090</v>
      </c>
      <c r="D20" s="102">
        <v>1</v>
      </c>
      <c r="E20" s="221">
        <v>1</v>
      </c>
      <c r="F20" s="252">
        <f t="shared" si="0"/>
        <v>0</v>
      </c>
      <c r="G20" s="469">
        <v>1</v>
      </c>
    </row>
    <row r="21" spans="1:7" s="204" customFormat="1">
      <c r="A21" s="1760"/>
      <c r="B21" s="102" t="s">
        <v>1091</v>
      </c>
      <c r="C21" s="198" t="s">
        <v>1092</v>
      </c>
      <c r="D21" s="102">
        <v>5</v>
      </c>
      <c r="E21" s="221">
        <v>5</v>
      </c>
      <c r="F21" s="252">
        <f t="shared" si="0"/>
        <v>0</v>
      </c>
      <c r="G21" s="469">
        <v>5</v>
      </c>
    </row>
    <row r="22" spans="1:7" s="204" customFormat="1">
      <c r="A22" s="1760"/>
      <c r="B22" s="102" t="s">
        <v>1093</v>
      </c>
      <c r="C22" s="198" t="s">
        <v>1094</v>
      </c>
      <c r="D22" s="102">
        <v>5</v>
      </c>
      <c r="E22" s="221">
        <v>5</v>
      </c>
      <c r="F22" s="252">
        <f t="shared" si="0"/>
        <v>0</v>
      </c>
      <c r="G22" s="216">
        <v>5</v>
      </c>
    </row>
    <row r="23" spans="1:7" s="204" customFormat="1">
      <c r="A23" s="1760"/>
      <c r="B23" s="1760" t="s">
        <v>1095</v>
      </c>
      <c r="C23" s="198" t="s">
        <v>1096</v>
      </c>
      <c r="D23" s="102">
        <v>2</v>
      </c>
      <c r="E23" s="221">
        <v>2</v>
      </c>
      <c r="F23" s="252">
        <f t="shared" si="0"/>
        <v>0</v>
      </c>
      <c r="G23" s="216">
        <v>2</v>
      </c>
    </row>
    <row r="24" spans="1:7" s="204" customFormat="1">
      <c r="A24" s="1760"/>
      <c r="B24" s="1760"/>
      <c r="C24" s="198" t="s">
        <v>1097</v>
      </c>
      <c r="D24" s="102">
        <v>6</v>
      </c>
      <c r="E24" s="221">
        <v>6</v>
      </c>
      <c r="F24" s="252">
        <f t="shared" si="0"/>
        <v>0</v>
      </c>
      <c r="G24" s="216">
        <v>6</v>
      </c>
    </row>
    <row r="25" spans="1:7" s="204" customFormat="1" ht="27">
      <c r="A25" s="1760"/>
      <c r="B25" s="1760" t="s">
        <v>1098</v>
      </c>
      <c r="C25" s="198" t="s">
        <v>1099</v>
      </c>
      <c r="D25" s="102">
        <v>3</v>
      </c>
      <c r="E25" s="221">
        <v>3</v>
      </c>
      <c r="F25" s="252">
        <f t="shared" si="0"/>
        <v>0</v>
      </c>
      <c r="G25" s="216">
        <v>3</v>
      </c>
    </row>
    <row r="26" spans="1:7" s="204" customFormat="1">
      <c r="A26" s="1760"/>
      <c r="B26" s="1760"/>
      <c r="C26" s="198" t="s">
        <v>1100</v>
      </c>
      <c r="D26" s="102">
        <v>5</v>
      </c>
      <c r="E26" s="221">
        <v>5</v>
      </c>
      <c r="F26" s="252">
        <f t="shared" si="0"/>
        <v>0</v>
      </c>
      <c r="G26" s="216">
        <v>5</v>
      </c>
    </row>
    <row r="27" spans="1:7" s="204" customFormat="1" ht="27">
      <c r="A27" s="1760" t="s">
        <v>1101</v>
      </c>
      <c r="B27" s="205" t="s">
        <v>1102</v>
      </c>
      <c r="C27" s="198" t="s">
        <v>1103</v>
      </c>
      <c r="D27" s="102">
        <v>2</v>
      </c>
      <c r="E27" s="221">
        <v>2</v>
      </c>
      <c r="F27" s="252">
        <f t="shared" si="0"/>
        <v>0</v>
      </c>
      <c r="G27" s="216">
        <v>2</v>
      </c>
    </row>
    <row r="28" spans="1:7" s="204" customFormat="1">
      <c r="A28" s="1760"/>
      <c r="B28" s="205" t="s">
        <v>1104</v>
      </c>
      <c r="C28" s="198" t="s">
        <v>1105</v>
      </c>
      <c r="D28" s="102">
        <v>2</v>
      </c>
      <c r="E28" s="221" t="s">
        <v>1171</v>
      </c>
      <c r="F28" s="252" t="e">
        <f t="shared" si="0"/>
        <v>#VALUE!</v>
      </c>
      <c r="G28" s="469" t="s">
        <v>1791</v>
      </c>
    </row>
    <row r="29" spans="1:7" s="204" customFormat="1">
      <c r="A29" s="1760"/>
      <c r="B29" s="1760" t="s">
        <v>1106</v>
      </c>
      <c r="C29" s="198" t="s">
        <v>1107</v>
      </c>
      <c r="D29" s="102">
        <v>6</v>
      </c>
      <c r="E29" s="221">
        <v>6</v>
      </c>
      <c r="F29" s="252">
        <f t="shared" si="0"/>
        <v>0</v>
      </c>
      <c r="G29" s="469">
        <v>6</v>
      </c>
    </row>
    <row r="30" spans="1:7" s="204" customFormat="1" ht="40.5">
      <c r="A30" s="1760"/>
      <c r="B30" s="1760"/>
      <c r="C30" s="198" t="s">
        <v>1108</v>
      </c>
      <c r="D30" s="102">
        <v>6</v>
      </c>
      <c r="E30" s="221">
        <v>6</v>
      </c>
      <c r="F30" s="252">
        <f t="shared" si="0"/>
        <v>0</v>
      </c>
      <c r="G30" s="469">
        <v>6</v>
      </c>
    </row>
    <row r="31" spans="1:7" s="204" customFormat="1" ht="27">
      <c r="A31" s="102" t="s">
        <v>1109</v>
      </c>
      <c r="B31" s="205" t="s">
        <v>1110</v>
      </c>
      <c r="C31" s="198" t="s">
        <v>1111</v>
      </c>
      <c r="D31" s="102">
        <v>15</v>
      </c>
      <c r="E31" s="221">
        <v>15</v>
      </c>
      <c r="F31" s="252">
        <f t="shared" si="0"/>
        <v>0</v>
      </c>
      <c r="G31" s="469">
        <v>15</v>
      </c>
    </row>
    <row r="32" spans="1:7">
      <c r="A32" s="1762" t="s">
        <v>498</v>
      </c>
      <c r="B32" s="1762"/>
      <c r="C32" s="205"/>
      <c r="D32" s="205">
        <f>SUM(D3:D31)</f>
        <v>100</v>
      </c>
      <c r="E32" s="205">
        <f>SUM(E3:E31)</f>
        <v>92</v>
      </c>
      <c r="F32" s="252">
        <f t="shared" si="0"/>
        <v>8</v>
      </c>
      <c r="G32" s="469">
        <v>92</v>
      </c>
    </row>
    <row r="35" spans="1:7" ht="14.25">
      <c r="B35" s="18" t="s">
        <v>284</v>
      </c>
      <c r="E35" s="231">
        <f>E32</f>
        <v>92</v>
      </c>
      <c r="G35" s="471">
        <v>92</v>
      </c>
    </row>
    <row r="36" spans="1:7" ht="14.25">
      <c r="B36" s="18"/>
    </row>
    <row r="37" spans="1:7" ht="14.25">
      <c r="B37" s="18"/>
    </row>
    <row r="38" spans="1:7" ht="14.25">
      <c r="B38" s="18"/>
    </row>
    <row r="39" spans="1:7" ht="14.25">
      <c r="B39" s="18"/>
    </row>
    <row r="41" spans="1:7">
      <c r="A41" s="860" t="s">
        <v>1960</v>
      </c>
    </row>
    <row r="42" spans="1:7">
      <c r="A42" s="893" t="s">
        <v>2008</v>
      </c>
    </row>
  </sheetData>
  <mergeCells count="12">
    <mergeCell ref="A27:A30"/>
    <mergeCell ref="B29:B30"/>
    <mergeCell ref="A1:E1"/>
    <mergeCell ref="A32:B32"/>
    <mergeCell ref="A3:A4"/>
    <mergeCell ref="A5:A13"/>
    <mergeCell ref="A14:A17"/>
    <mergeCell ref="B15:B17"/>
    <mergeCell ref="A19:A26"/>
    <mergeCell ref="B19:B20"/>
    <mergeCell ref="B23:B24"/>
    <mergeCell ref="B25:B26"/>
  </mergeCells>
  <phoneticPr fontId="3" type="noConversion"/>
  <conditionalFormatting sqref="F3:F32">
    <cfRule type="cellIs" dxfId="0" priority="1" operator="greaterThan">
      <formula>0</formula>
    </cfRule>
  </conditionalFormatting>
  <hyperlinks>
    <hyperlink ref="A41" location="权重!A1" display="权重!A1"/>
    <hyperlink ref="A42" location="目录!A1" display="目录!A1"/>
  </hyperlinks>
  <pageMargins left="0.70866141732283472" right="0.39370078740157483" top="0.74803149606299213" bottom="0.74803149606299213" header="0.31496062992125984" footer="0.31496062992125984"/>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29</vt:i4>
      </vt:variant>
      <vt:variant>
        <vt:lpstr>命名范围</vt:lpstr>
      </vt:variant>
      <vt:variant>
        <vt:i4>2</vt:i4>
      </vt:variant>
    </vt:vector>
  </HeadingPairs>
  <TitlesOfParts>
    <vt:vector size="31" baseType="lpstr">
      <vt:lpstr>员工流失率</vt:lpstr>
      <vt:lpstr>犹豫期内电话回访成功率</vt:lpstr>
      <vt:lpstr>新契约回访完成率</vt:lpstr>
      <vt:lpstr>续期收费率</vt:lpstr>
      <vt:lpstr>退撤保率</vt:lpstr>
      <vt:lpstr>分公司绩效</vt:lpstr>
      <vt:lpstr>总公司绩效-II</vt:lpstr>
      <vt:lpstr>总公司绩效-I</vt:lpstr>
      <vt:lpstr>绩效总分</vt:lpstr>
      <vt:lpstr>目录</vt:lpstr>
      <vt:lpstr>FM02-分支机构封面页</vt:lpstr>
      <vt:lpstr>权重</vt:lpstr>
      <vt:lpstr>OR04-分公司销售、承保、保全</vt:lpstr>
      <vt:lpstr>OR08-分公司理赔</vt:lpstr>
      <vt:lpstr>单证遗失情况</vt:lpstr>
      <vt:lpstr>绩效评分汇总页</vt:lpstr>
      <vt:lpstr>OR13-分公司财务管理</vt:lpstr>
      <vt:lpstr>OR02-销售承保</vt:lpstr>
      <vt:lpstr>OR06-理赔保全</vt:lpstr>
      <vt:lpstr>OR12-财务管理</vt:lpstr>
      <vt:lpstr>OR10-资金运用</vt:lpstr>
      <vt:lpstr>OR18-合规风险</vt:lpstr>
      <vt:lpstr>OR15-准备金再保险</vt:lpstr>
      <vt:lpstr>RR01-声誉风险</vt:lpstr>
      <vt:lpstr>信息系统</vt:lpstr>
      <vt:lpstr>案件管理</vt:lpstr>
      <vt:lpstr>流动性风险</vt:lpstr>
      <vt:lpstr>公司治理</vt:lpstr>
      <vt:lpstr>战略风险</vt:lpstr>
      <vt:lpstr>案件管理!Print_Area</vt:lpstr>
      <vt:lpstr>案件管理!Print_Titles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徐梦薇/Mengwei Xu</cp:lastModifiedBy>
  <cp:lastPrinted>2018-01-09T06:16:55Z</cp:lastPrinted>
  <dcterms:created xsi:type="dcterms:W3CDTF">2016-07-18T02:45:56Z</dcterms:created>
  <dcterms:modified xsi:type="dcterms:W3CDTF">2018-09-11T01:01:40Z</dcterms:modified>
</cp:coreProperties>
</file>